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1.usc.ao.dcn\AO-OCP\data\common\DPS\JDAO\Quarter Close Tables\Judicial Panel on Multidistrict Litigation\Sep 2023\"/>
    </mc:Choice>
  </mc:AlternateContent>
  <xr:revisionPtr revIDLastSave="0" documentId="8_{FC2A7BAE-27DB-4CAC-A44C-ED63667F1045}" xr6:coauthVersionLast="47" xr6:coauthVersionMax="47" xr10:uidLastSave="{00000000-0000-0000-0000-000000000000}"/>
  <bookViews>
    <workbookView xWindow="-23148" yWindow="-24" windowWidth="23256" windowHeight="12576" xr2:uid="{254B2522-291E-4682-AA7A-A19AFAA1CC3F}"/>
  </bookViews>
  <sheets>
    <sheet name="Formatted Report - S-19" sheetId="1" r:id="rId1"/>
  </sheets>
  <externalReferences>
    <externalReference r:id="rId2"/>
  </externalReferences>
  <definedNames>
    <definedName name="_xlnm.Print_Area" localSheetId="0">'Formatted Report - S-19'!$A$1:$K$127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4" i="1" l="1"/>
  <c r="H124" i="1"/>
  <c r="F124" i="1"/>
  <c r="D124" i="1"/>
  <c r="B124" i="1"/>
  <c r="J123" i="1"/>
  <c r="H123" i="1"/>
  <c r="F123" i="1"/>
  <c r="D123" i="1"/>
  <c r="B123" i="1"/>
  <c r="J122" i="1"/>
  <c r="H122" i="1"/>
  <c r="F122" i="1"/>
  <c r="D122" i="1"/>
  <c r="B122" i="1"/>
  <c r="J121" i="1"/>
  <c r="H121" i="1"/>
  <c r="F121" i="1"/>
  <c r="D121" i="1"/>
  <c r="B121" i="1"/>
  <c r="J120" i="1"/>
  <c r="H120" i="1"/>
  <c r="F120" i="1"/>
  <c r="D120" i="1"/>
  <c r="B120" i="1"/>
  <c r="J119" i="1"/>
  <c r="H119" i="1"/>
  <c r="F119" i="1"/>
  <c r="D119" i="1"/>
  <c r="B119" i="1"/>
  <c r="B115" i="1" s="1"/>
  <c r="J118" i="1"/>
  <c r="H118" i="1"/>
  <c r="F118" i="1"/>
  <c r="D118" i="1"/>
  <c r="B118" i="1"/>
  <c r="J117" i="1"/>
  <c r="H117" i="1"/>
  <c r="F117" i="1"/>
  <c r="D117" i="1"/>
  <c r="B117" i="1"/>
  <c r="J116" i="1"/>
  <c r="H116" i="1"/>
  <c r="H115" i="1" s="1"/>
  <c r="F116" i="1"/>
  <c r="F115" i="1" s="1"/>
  <c r="D116" i="1"/>
  <c r="B116" i="1"/>
  <c r="J115" i="1"/>
  <c r="D115" i="1"/>
  <c r="J114" i="1"/>
  <c r="H114" i="1"/>
  <c r="F114" i="1"/>
  <c r="D114" i="1"/>
  <c r="B114" i="1"/>
  <c r="J113" i="1"/>
  <c r="H113" i="1"/>
  <c r="F113" i="1"/>
  <c r="D113" i="1"/>
  <c r="B113" i="1"/>
  <c r="J112" i="1"/>
  <c r="H112" i="1"/>
  <c r="F112" i="1"/>
  <c r="D112" i="1"/>
  <c r="B112" i="1"/>
  <c r="J111" i="1"/>
  <c r="H111" i="1"/>
  <c r="F111" i="1"/>
  <c r="D111" i="1"/>
  <c r="B111" i="1"/>
  <c r="J110" i="1"/>
  <c r="H110" i="1"/>
  <c r="F110" i="1"/>
  <c r="D110" i="1"/>
  <c r="B110" i="1"/>
  <c r="J109" i="1"/>
  <c r="H109" i="1"/>
  <c r="F109" i="1"/>
  <c r="D109" i="1"/>
  <c r="B109" i="1"/>
  <c r="J108" i="1"/>
  <c r="H108" i="1"/>
  <c r="H106" i="1" s="1"/>
  <c r="F108" i="1"/>
  <c r="F106" i="1" s="1"/>
  <c r="D108" i="1"/>
  <c r="B108" i="1"/>
  <c r="J107" i="1"/>
  <c r="J106" i="1" s="1"/>
  <c r="H107" i="1"/>
  <c r="F107" i="1"/>
  <c r="D107" i="1"/>
  <c r="B107" i="1"/>
  <c r="B106" i="1" s="1"/>
  <c r="D106" i="1"/>
  <c r="J105" i="1"/>
  <c r="H105" i="1"/>
  <c r="F105" i="1"/>
  <c r="D105" i="1"/>
  <c r="B105" i="1"/>
  <c r="J104" i="1"/>
  <c r="H104" i="1"/>
  <c r="F104" i="1"/>
  <c r="D104" i="1"/>
  <c r="B104" i="1"/>
  <c r="J103" i="1"/>
  <c r="H103" i="1"/>
  <c r="F103" i="1"/>
  <c r="D103" i="1"/>
  <c r="B103" i="1"/>
  <c r="J102" i="1"/>
  <c r="H102" i="1"/>
  <c r="F102" i="1"/>
  <c r="D102" i="1"/>
  <c r="B102" i="1"/>
  <c r="J101" i="1"/>
  <c r="H101" i="1"/>
  <c r="F101" i="1"/>
  <c r="D101" i="1"/>
  <c r="B101" i="1"/>
  <c r="J100" i="1"/>
  <c r="H100" i="1"/>
  <c r="F100" i="1"/>
  <c r="D100" i="1"/>
  <c r="B100" i="1"/>
  <c r="J99" i="1"/>
  <c r="H99" i="1"/>
  <c r="F99" i="1"/>
  <c r="D99" i="1"/>
  <c r="B99" i="1"/>
  <c r="J98" i="1"/>
  <c r="H98" i="1"/>
  <c r="F98" i="1"/>
  <c r="D98" i="1"/>
  <c r="B98" i="1"/>
  <c r="J97" i="1"/>
  <c r="H97" i="1"/>
  <c r="F97" i="1"/>
  <c r="D97" i="1"/>
  <c r="B97" i="1"/>
  <c r="J96" i="1"/>
  <c r="H96" i="1"/>
  <c r="F96" i="1"/>
  <c r="D96" i="1"/>
  <c r="B96" i="1"/>
  <c r="J95" i="1"/>
  <c r="H95" i="1"/>
  <c r="F95" i="1"/>
  <c r="D95" i="1"/>
  <c r="B95" i="1"/>
  <c r="J94" i="1"/>
  <c r="H94" i="1"/>
  <c r="F94" i="1"/>
  <c r="D94" i="1"/>
  <c r="B94" i="1"/>
  <c r="J93" i="1"/>
  <c r="H93" i="1"/>
  <c r="F93" i="1"/>
  <c r="D93" i="1"/>
  <c r="B93" i="1"/>
  <c r="J92" i="1"/>
  <c r="H92" i="1"/>
  <c r="H90" i="1" s="1"/>
  <c r="F92" i="1"/>
  <c r="F90" i="1" s="1"/>
  <c r="D92" i="1"/>
  <c r="B92" i="1"/>
  <c r="J91" i="1"/>
  <c r="J90" i="1" s="1"/>
  <c r="H91" i="1"/>
  <c r="F91" i="1"/>
  <c r="D91" i="1"/>
  <c r="B91" i="1"/>
  <c r="B90" i="1" s="1"/>
  <c r="D90" i="1"/>
  <c r="F88" i="1"/>
  <c r="B88" i="1"/>
  <c r="A86" i="1"/>
  <c r="J84" i="1"/>
  <c r="H84" i="1"/>
  <c r="F84" i="1"/>
  <c r="D84" i="1"/>
  <c r="B84" i="1"/>
  <c r="J83" i="1"/>
  <c r="H83" i="1"/>
  <c r="F83" i="1"/>
  <c r="D83" i="1"/>
  <c r="B83" i="1"/>
  <c r="J82" i="1"/>
  <c r="H82" i="1"/>
  <c r="F82" i="1"/>
  <c r="D82" i="1"/>
  <c r="B82" i="1"/>
  <c r="J81" i="1"/>
  <c r="H81" i="1"/>
  <c r="F81" i="1"/>
  <c r="D81" i="1"/>
  <c r="B81" i="1"/>
  <c r="J80" i="1"/>
  <c r="H80" i="1"/>
  <c r="F80" i="1"/>
  <c r="D80" i="1"/>
  <c r="B80" i="1"/>
  <c r="J79" i="1"/>
  <c r="H79" i="1"/>
  <c r="F79" i="1"/>
  <c r="D79" i="1"/>
  <c r="B79" i="1"/>
  <c r="J78" i="1"/>
  <c r="H78" i="1"/>
  <c r="F78" i="1"/>
  <c r="D78" i="1"/>
  <c r="B78" i="1"/>
  <c r="J77" i="1"/>
  <c r="H77" i="1"/>
  <c r="F77" i="1"/>
  <c r="D77" i="1"/>
  <c r="B77" i="1"/>
  <c r="J76" i="1"/>
  <c r="J74" i="1" s="1"/>
  <c r="H76" i="1"/>
  <c r="F76" i="1"/>
  <c r="D76" i="1"/>
  <c r="B76" i="1"/>
  <c r="J75" i="1"/>
  <c r="H75" i="1"/>
  <c r="F75" i="1"/>
  <c r="F74" i="1" s="1"/>
  <c r="D75" i="1"/>
  <c r="D74" i="1" s="1"/>
  <c r="B75" i="1"/>
  <c r="H74" i="1"/>
  <c r="B74" i="1"/>
  <c r="J73" i="1"/>
  <c r="H73" i="1"/>
  <c r="F73" i="1"/>
  <c r="D73" i="1"/>
  <c r="B73" i="1"/>
  <c r="J72" i="1"/>
  <c r="H72" i="1"/>
  <c r="F72" i="1"/>
  <c r="D72" i="1"/>
  <c r="B72" i="1"/>
  <c r="J71" i="1"/>
  <c r="H71" i="1"/>
  <c r="F71" i="1"/>
  <c r="D71" i="1"/>
  <c r="B71" i="1"/>
  <c r="J70" i="1"/>
  <c r="H70" i="1"/>
  <c r="F70" i="1"/>
  <c r="D70" i="1"/>
  <c r="B70" i="1"/>
  <c r="J69" i="1"/>
  <c r="J65" i="1" s="1"/>
  <c r="H69" i="1"/>
  <c r="F69" i="1"/>
  <c r="D69" i="1"/>
  <c r="B69" i="1"/>
  <c r="J68" i="1"/>
  <c r="H68" i="1"/>
  <c r="F68" i="1"/>
  <c r="D68" i="1"/>
  <c r="B68" i="1"/>
  <c r="J67" i="1"/>
  <c r="H67" i="1"/>
  <c r="F67" i="1"/>
  <c r="F65" i="1" s="1"/>
  <c r="D67" i="1"/>
  <c r="D65" i="1" s="1"/>
  <c r="B67" i="1"/>
  <c r="J66" i="1"/>
  <c r="H66" i="1"/>
  <c r="H65" i="1" s="1"/>
  <c r="F66" i="1"/>
  <c r="D66" i="1"/>
  <c r="B66" i="1"/>
  <c r="B65" i="1"/>
  <c r="J64" i="1"/>
  <c r="H64" i="1"/>
  <c r="F64" i="1"/>
  <c r="D64" i="1"/>
  <c r="B64" i="1"/>
  <c r="J63" i="1"/>
  <c r="H63" i="1"/>
  <c r="F63" i="1"/>
  <c r="D63" i="1"/>
  <c r="B63" i="1"/>
  <c r="J62" i="1"/>
  <c r="H62" i="1"/>
  <c r="F62" i="1"/>
  <c r="D62" i="1"/>
  <c r="B62" i="1"/>
  <c r="J61" i="1"/>
  <c r="H61" i="1"/>
  <c r="F61" i="1"/>
  <c r="D61" i="1"/>
  <c r="B61" i="1"/>
  <c r="J60" i="1"/>
  <c r="H60" i="1"/>
  <c r="F60" i="1"/>
  <c r="D60" i="1"/>
  <c r="B60" i="1"/>
  <c r="J59" i="1"/>
  <c r="H59" i="1"/>
  <c r="F59" i="1"/>
  <c r="D59" i="1"/>
  <c r="B59" i="1"/>
  <c r="J58" i="1"/>
  <c r="H58" i="1"/>
  <c r="F58" i="1"/>
  <c r="D58" i="1"/>
  <c r="B58" i="1"/>
  <c r="J57" i="1"/>
  <c r="J55" i="1" s="1"/>
  <c r="H57" i="1"/>
  <c r="H55" i="1" s="1"/>
  <c r="F57" i="1"/>
  <c r="D57" i="1"/>
  <c r="B57" i="1"/>
  <c r="J56" i="1"/>
  <c r="H56" i="1"/>
  <c r="F56" i="1"/>
  <c r="D56" i="1"/>
  <c r="D55" i="1" s="1"/>
  <c r="B56" i="1"/>
  <c r="B55" i="1" s="1"/>
  <c r="F55" i="1"/>
  <c r="J54" i="1"/>
  <c r="H54" i="1"/>
  <c r="F54" i="1"/>
  <c r="D54" i="1"/>
  <c r="B54" i="1"/>
  <c r="J53" i="1"/>
  <c r="H53" i="1"/>
  <c r="F53" i="1"/>
  <c r="D53" i="1"/>
  <c r="B53" i="1"/>
  <c r="J52" i="1"/>
  <c r="H52" i="1"/>
  <c r="F52" i="1"/>
  <c r="D52" i="1"/>
  <c r="B52" i="1"/>
  <c r="J51" i="1"/>
  <c r="H51" i="1"/>
  <c r="F51" i="1"/>
  <c r="D51" i="1"/>
  <c r="B51" i="1"/>
  <c r="J50" i="1"/>
  <c r="H50" i="1"/>
  <c r="F50" i="1"/>
  <c r="D50" i="1"/>
  <c r="B50" i="1"/>
  <c r="J49" i="1"/>
  <c r="H49" i="1"/>
  <c r="F49" i="1"/>
  <c r="D49" i="1"/>
  <c r="B49" i="1"/>
  <c r="B45" i="1" s="1"/>
  <c r="J48" i="1"/>
  <c r="H48" i="1"/>
  <c r="F48" i="1"/>
  <c r="D48" i="1"/>
  <c r="B48" i="1"/>
  <c r="J47" i="1"/>
  <c r="H47" i="1"/>
  <c r="F47" i="1"/>
  <c r="D47" i="1"/>
  <c r="B47" i="1"/>
  <c r="J46" i="1"/>
  <c r="H46" i="1"/>
  <c r="H45" i="1" s="1"/>
  <c r="F46" i="1"/>
  <c r="F45" i="1" s="1"/>
  <c r="D46" i="1"/>
  <c r="B46" i="1"/>
  <c r="J45" i="1"/>
  <c r="D45" i="1"/>
  <c r="F43" i="1"/>
  <c r="B43" i="1"/>
  <c r="A41" i="1"/>
  <c r="J39" i="1"/>
  <c r="H39" i="1"/>
  <c r="F39" i="1"/>
  <c r="D39" i="1"/>
  <c r="B39" i="1"/>
  <c r="J38" i="1"/>
  <c r="H38" i="1"/>
  <c r="F38" i="1"/>
  <c r="D38" i="1"/>
  <c r="B38" i="1"/>
  <c r="J37" i="1"/>
  <c r="H37" i="1"/>
  <c r="F37" i="1"/>
  <c r="D37" i="1"/>
  <c r="B37" i="1"/>
  <c r="J36" i="1"/>
  <c r="H36" i="1"/>
  <c r="F36" i="1"/>
  <c r="D36" i="1"/>
  <c r="B36" i="1"/>
  <c r="J35" i="1"/>
  <c r="H35" i="1"/>
  <c r="F35" i="1"/>
  <c r="D35" i="1"/>
  <c r="B35" i="1"/>
  <c r="J34" i="1"/>
  <c r="H34" i="1"/>
  <c r="F34" i="1"/>
  <c r="D34" i="1"/>
  <c r="B34" i="1"/>
  <c r="J33" i="1"/>
  <c r="H33" i="1"/>
  <c r="F33" i="1"/>
  <c r="D33" i="1"/>
  <c r="B33" i="1"/>
  <c r="J32" i="1"/>
  <c r="H32" i="1"/>
  <c r="H30" i="1" s="1"/>
  <c r="F32" i="1"/>
  <c r="F30" i="1" s="1"/>
  <c r="D32" i="1"/>
  <c r="B32" i="1"/>
  <c r="J31" i="1"/>
  <c r="J30" i="1" s="1"/>
  <c r="H31" i="1"/>
  <c r="F31" i="1"/>
  <c r="D31" i="1"/>
  <c r="D30" i="1" s="1"/>
  <c r="B31" i="1"/>
  <c r="B30" i="1" s="1"/>
  <c r="J29" i="1"/>
  <c r="H29" i="1"/>
  <c r="F29" i="1"/>
  <c r="D29" i="1"/>
  <c r="B29" i="1"/>
  <c r="J28" i="1"/>
  <c r="H28" i="1"/>
  <c r="F28" i="1"/>
  <c r="D28" i="1"/>
  <c r="B28" i="1"/>
  <c r="J27" i="1"/>
  <c r="H27" i="1"/>
  <c r="F27" i="1"/>
  <c r="D27" i="1"/>
  <c r="B27" i="1"/>
  <c r="J26" i="1"/>
  <c r="H26" i="1"/>
  <c r="F26" i="1"/>
  <c r="D26" i="1"/>
  <c r="D23" i="1" s="1"/>
  <c r="B26" i="1"/>
  <c r="J25" i="1"/>
  <c r="H25" i="1"/>
  <c r="F25" i="1"/>
  <c r="D25" i="1"/>
  <c r="B25" i="1"/>
  <c r="J24" i="1"/>
  <c r="J23" i="1" s="1"/>
  <c r="H24" i="1"/>
  <c r="H23" i="1" s="1"/>
  <c r="F24" i="1"/>
  <c r="F23" i="1" s="1"/>
  <c r="D24" i="1"/>
  <c r="B24" i="1"/>
  <c r="B23" i="1"/>
  <c r="J22" i="1"/>
  <c r="H22" i="1"/>
  <c r="F22" i="1"/>
  <c r="D22" i="1"/>
  <c r="B22" i="1"/>
  <c r="J21" i="1"/>
  <c r="H21" i="1"/>
  <c r="F21" i="1"/>
  <c r="D21" i="1"/>
  <c r="B21" i="1"/>
  <c r="J20" i="1"/>
  <c r="H20" i="1"/>
  <c r="F20" i="1"/>
  <c r="D20" i="1"/>
  <c r="B20" i="1"/>
  <c r="J19" i="1"/>
  <c r="J16" i="1" s="1"/>
  <c r="H19" i="1"/>
  <c r="F19" i="1"/>
  <c r="D19" i="1"/>
  <c r="B19" i="1"/>
  <c r="J18" i="1"/>
  <c r="H18" i="1"/>
  <c r="F18" i="1"/>
  <c r="D18" i="1"/>
  <c r="D16" i="1" s="1"/>
  <c r="B18" i="1"/>
  <c r="B16" i="1" s="1"/>
  <c r="J17" i="1"/>
  <c r="H17" i="1"/>
  <c r="F17" i="1"/>
  <c r="F16" i="1" s="1"/>
  <c r="D17" i="1"/>
  <c r="B17" i="1"/>
  <c r="H16" i="1"/>
  <c r="J15" i="1"/>
  <c r="H15" i="1"/>
  <c r="F15" i="1"/>
  <c r="D15" i="1"/>
  <c r="B15" i="1"/>
  <c r="J14" i="1"/>
  <c r="H14" i="1"/>
  <c r="F14" i="1"/>
  <c r="D14" i="1"/>
  <c r="B14" i="1"/>
  <c r="J13" i="1"/>
  <c r="H13" i="1"/>
  <c r="F13" i="1"/>
  <c r="F10" i="1" s="1"/>
  <c r="D13" i="1"/>
  <c r="B13" i="1"/>
  <c r="J12" i="1"/>
  <c r="H12" i="1"/>
  <c r="F12" i="1"/>
  <c r="D12" i="1"/>
  <c r="B12" i="1"/>
  <c r="J11" i="1"/>
  <c r="J10" i="1" s="1"/>
  <c r="H11" i="1"/>
  <c r="H10" i="1" s="1"/>
  <c r="F11" i="1"/>
  <c r="D11" i="1"/>
  <c r="B11" i="1"/>
  <c r="B10" i="1" s="1"/>
  <c r="D10" i="1"/>
  <c r="D8" i="1" s="1"/>
  <c r="J9" i="1"/>
  <c r="H9" i="1"/>
  <c r="F9" i="1"/>
  <c r="D9" i="1"/>
  <c r="B9" i="1"/>
  <c r="F6" i="1"/>
  <c r="B6" i="1"/>
  <c r="A4" i="1"/>
  <c r="B8" i="1" l="1"/>
  <c r="H8" i="1"/>
  <c r="F8" i="1"/>
  <c r="J8" i="1"/>
</calcChain>
</file>

<file path=xl/sharedStrings.xml><?xml version="1.0" encoding="utf-8"?>
<sst xmlns="http://schemas.openxmlformats.org/spreadsheetml/2006/main" count="129" uniqueCount="115">
  <si>
    <t>Table S-19.</t>
  </si>
  <si>
    <t>Cases Transferred by Order of the Judicial Panel on Multidistrict Litigation,</t>
  </si>
  <si>
    <t>Circuit and District</t>
  </si>
  <si>
    <t>Total Pending
in Transferee
District</t>
  </si>
  <si>
    <t>Into District</t>
  </si>
  <si>
    <t>Out of District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</si>
  <si>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</si>
  <si>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</si>
  <si>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</si>
  <si>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</si>
  <si>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</si>
  <si>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</si>
  <si>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</si>
  <si>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</si>
  <si>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</si>
  <si>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</si>
  <si>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</si>
  <si>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</si>
  <si>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</si>
  <si>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</si>
  <si>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</si>
  <si>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</si>
  <si>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</si>
  <si>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</si>
  <si>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</si>
  <si>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</si>
  <si>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</si>
  <si>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</si>
  <si>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</si>
  <si>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</si>
  <si>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</si>
  <si>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</si>
  <si>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</si>
  <si>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</si>
  <si>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</si>
  <si>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</si>
  <si>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</si>
  <si>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</si>
  <si>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</si>
  <si>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</si>
  <si>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</si>
  <si>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</si>
  <si>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</si>
  <si>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</si>
  <si>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</si>
  <si>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</si>
  <si>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</si>
  <si>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</si>
  <si>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</si>
  <si>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</si>
  <si>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</si>
  <si>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</si>
  <si>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</si>
  <si>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</si>
  <si>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</si>
  <si>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</si>
  <si>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</si>
  <si>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</si>
  <si>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</si>
  <si>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</si>
  <si>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r>
      <t xml:space="preserve">IL,E </t>
    </r>
    <r>
      <rPr>
        <vertAlign val="superscript"/>
        <sz val="8"/>
        <color theme="1"/>
        <rFont val="Arial"/>
        <family val="2"/>
      </rPr>
      <t>1</t>
    </r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</si>
  <si>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</si>
  <si>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</si>
  <si>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</si>
  <si>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</si>
  <si>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</si>
  <si>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</si>
  <si>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</si>
  <si>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</si>
  <si>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</si>
  <si>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</si>
  <si>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</si>
  <si>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</si>
  <si>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</si>
  <si>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</si>
  <si>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</si>
  <si>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</si>
  <si>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</si>
  <si>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</si>
  <si>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</si>
  <si>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</si>
  <si>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</si>
  <si>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</si>
  <si>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</si>
  <si>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</si>
  <si>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</si>
  <si>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</si>
  <si>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</si>
  <si>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</si>
  <si>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</si>
  <si>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</si>
  <si>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</si>
  <si>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</si>
  <si>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</si>
  <si>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</si>
  <si>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</si>
  <si>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</si>
  <si>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</si>
  <si>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</si>
  <si>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</si>
  <si>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</si>
  <si>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</si>
  <si>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</si>
  <si>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</si>
  <si>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</si>
  <si>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</si>
  <si>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</si>
  <si>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</si>
  <si>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</si>
  <si>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</si>
  <si>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</si>
  <si>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</si>
  <si>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</si>
  <si>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report is furnished by the United States Judicial Panel on Multidistrict Litigation.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</si>
  <si>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No longer a separate district.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</si>
</sst>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" fillId="0" borderId="0" xfId="1" applyNumberFormat="1" applyFont="1"/>
    <xf numFmtId="164" fontId="2" fillId="0" borderId="0" xfId="1" applyNumberFormat="1" applyFont="1"/>
    <xf numFmtId="0" fontId="2" fillId="0" borderId="8" xfId="0" applyFont="1" applyBorder="1"/>
  </cellXfs>
  <cellStyles count="2">
    <cellStyle name="Comma" xfId="1" builtinId="3"/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47625</xdr:rowOff>
    </xdr:from>
    <xdr:to>
      <xdr:col>10</xdr:col>
      <xdr:colOff>299083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9A9DE5A-D780-4DBB-B9B6-BFA368F0EA9B}"/>
            </a:ext>
          </a:extLst>
        </xdr:cNvPr>
        <xdr:cNvCxnSpPr/>
      </xdr:nvCxnSpPr>
      <xdr:spPr>
        <a:xfrm>
          <a:off x="28573" y="47625"/>
          <a:ext cx="7425690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28573</xdr:colOff>
      <xdr:row>84</xdr:row>
      <xdr:rowOff>47625</xdr:rowOff>
    </xdr:from>
    <xdr:to>
      <xdr:col>11</xdr:col>
      <xdr:colOff>3808</xdr:colOff>
      <xdr:row>84</xdr:row>
      <xdr:rowOff>47625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651302A-BE32-44D4-8677-8DB60988A2CF}"/>
            </a:ext>
          </a:extLst>
        </xdr:cNvPr>
        <xdr:cNvCxnSpPr/>
      </xdr:nvCxnSpPr>
      <xdr:spPr>
        <a:xfrm>
          <a:off x="28573" y="13100685"/>
          <a:ext cx="7427595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39</xdr:row>
      <xdr:rowOff>47625</xdr:rowOff>
    </xdr:from>
    <xdr:to>
      <xdr:col>11</xdr:col>
      <xdr:colOff>3810</xdr:colOff>
      <xdr:row>39</xdr:row>
      <xdr:rowOff>47625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24358F6-5956-4891-94A6-260F8D0FF9E8}"/>
            </a:ext>
          </a:extLst>
        </xdr:cNvPr>
        <xdr:cNvCxnSpPr/>
      </xdr:nvCxnSpPr>
      <xdr:spPr>
        <a:xfrm>
          <a:off x="28575" y="6677025"/>
          <a:ext cx="7427595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JDAO%20Branch%20Folders\Data%20Quality%20and%20Production%20Branch%20(DQP)\External%20Data%20Programs\JPMDL\2023%2009\JPMDL%20Tables%20S-19%20and%20S-20%20Template%20Sep%202023%20v1-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History"/>
      <sheetName val="Instructions"/>
      <sheetName val="Formatted Report - S-19"/>
      <sheetName val="Excel Report - S-19"/>
      <sheetName val="Formatted Report - S-20"/>
      <sheetName val="Raw Data - S-19"/>
      <sheetName val="Raw Data - S-20"/>
    </sheetNames>
    <sheetDataSet>
      <sheetData sheetId="0"/>
      <sheetData sheetId="1"/>
      <sheetData sheetId="2"/>
      <sheetData sheetId="3"/>
      <sheetData sheetId="4"/>
      <sheetData sheetId="5">
        <row r="1">
          <cell r="G1" t="str">
            <v>Cumulative From September 1968 Through September 30, 2023</v>
          </cell>
        </row>
        <row r="9">
          <cell r="A9" t="str">
            <v>TOTAL</v>
          </cell>
          <cell r="B9">
            <v>2334</v>
          </cell>
          <cell r="C9">
            <v>2334</v>
          </cell>
          <cell r="D9">
            <v>0</v>
          </cell>
          <cell r="E9">
            <v>80357</v>
          </cell>
          <cell r="F9">
            <v>48340</v>
          </cell>
          <cell r="G9">
            <v>286251</v>
          </cell>
          <cell r="H9">
            <v>286251</v>
          </cell>
          <cell r="I9">
            <v>0</v>
          </cell>
          <cell r="J9">
            <v>910312</v>
          </cell>
          <cell r="K9">
            <v>779426</v>
          </cell>
          <cell r="L9">
            <v>417137</v>
          </cell>
        </row>
        <row r="12">
          <cell r="A12" t="str">
            <v>District of Columbia</v>
          </cell>
          <cell r="B12">
            <v>0</v>
          </cell>
          <cell r="C12">
            <v>9</v>
          </cell>
          <cell r="D12">
            <v>-9</v>
          </cell>
          <cell r="E12">
            <v>0</v>
          </cell>
          <cell r="F12">
            <v>5</v>
          </cell>
          <cell r="G12">
            <v>2449</v>
          </cell>
          <cell r="H12">
            <v>2607</v>
          </cell>
          <cell r="I12">
            <v>-158</v>
          </cell>
          <cell r="J12">
            <v>442</v>
          </cell>
          <cell r="K12">
            <v>2616</v>
          </cell>
          <cell r="L12">
            <v>223</v>
          </cell>
        </row>
        <row r="13">
          <cell r="B13">
            <v>0</v>
          </cell>
          <cell r="C13">
            <v>9</v>
          </cell>
          <cell r="D13">
            <v>-9</v>
          </cell>
          <cell r="E13">
            <v>0</v>
          </cell>
          <cell r="F13">
            <v>0</v>
          </cell>
          <cell r="G13">
            <v>2449</v>
          </cell>
          <cell r="H13">
            <v>2607</v>
          </cell>
          <cell r="I13">
            <v>-158</v>
          </cell>
          <cell r="J13">
            <v>442</v>
          </cell>
          <cell r="K13">
            <v>2616</v>
          </cell>
          <cell r="L13">
            <v>223</v>
          </cell>
        </row>
        <row r="15">
          <cell r="A15" t="str">
            <v>1ST</v>
          </cell>
          <cell r="B15">
            <v>18</v>
          </cell>
          <cell r="C15">
            <v>88</v>
          </cell>
          <cell r="D15">
            <v>-70</v>
          </cell>
          <cell r="E15">
            <v>679</v>
          </cell>
          <cell r="F15">
            <v>636</v>
          </cell>
          <cell r="G15">
            <v>4628</v>
          </cell>
          <cell r="H15">
            <v>7633</v>
          </cell>
          <cell r="I15">
            <v>-3005</v>
          </cell>
          <cell r="J15">
            <v>11081</v>
          </cell>
          <cell r="K15">
            <v>12995</v>
          </cell>
          <cell r="L15">
            <v>4280</v>
          </cell>
        </row>
        <row r="16">
          <cell r="A16" t="str">
            <v>Maine</v>
          </cell>
          <cell r="B16">
            <v>0</v>
          </cell>
          <cell r="C16">
            <v>24</v>
          </cell>
          <cell r="D16">
            <v>-24</v>
          </cell>
          <cell r="E16">
            <v>0</v>
          </cell>
          <cell r="F16">
            <v>4</v>
          </cell>
          <cell r="G16">
            <v>132</v>
          </cell>
          <cell r="H16">
            <v>949</v>
          </cell>
          <cell r="I16">
            <v>-817</v>
          </cell>
          <cell r="J16">
            <v>21</v>
          </cell>
          <cell r="K16">
            <v>207</v>
          </cell>
          <cell r="L16">
            <v>0</v>
          </cell>
        </row>
        <row r="17">
          <cell r="A17" t="str">
            <v>Massachusetts</v>
          </cell>
          <cell r="B17">
            <v>18</v>
          </cell>
          <cell r="C17">
            <v>55</v>
          </cell>
          <cell r="D17">
            <v>-37</v>
          </cell>
          <cell r="E17">
            <v>545</v>
          </cell>
          <cell r="F17">
            <v>363</v>
          </cell>
          <cell r="G17">
            <v>2203</v>
          </cell>
          <cell r="H17">
            <v>5074</v>
          </cell>
          <cell r="I17">
            <v>-2871</v>
          </cell>
          <cell r="J17">
            <v>6995</v>
          </cell>
          <cell r="K17">
            <v>8653</v>
          </cell>
          <cell r="L17">
            <v>924</v>
          </cell>
        </row>
        <row r="18">
          <cell r="A18" t="str">
            <v>New Hampshire</v>
          </cell>
          <cell r="B18">
            <v>0</v>
          </cell>
          <cell r="C18">
            <v>1</v>
          </cell>
          <cell r="D18">
            <v>-1</v>
          </cell>
          <cell r="E18">
            <v>134</v>
          </cell>
          <cell r="F18">
            <v>243</v>
          </cell>
          <cell r="G18">
            <v>191</v>
          </cell>
          <cell r="H18">
            <v>505</v>
          </cell>
          <cell r="I18">
            <v>-314</v>
          </cell>
          <cell r="J18">
            <v>3498</v>
          </cell>
          <cell r="K18">
            <v>1326</v>
          </cell>
          <cell r="L18">
            <v>3356</v>
          </cell>
        </row>
        <row r="19">
          <cell r="A19" t="str">
            <v>Rhode Island</v>
          </cell>
          <cell r="B19">
            <v>0</v>
          </cell>
          <cell r="C19">
            <v>6</v>
          </cell>
          <cell r="D19">
            <v>-6</v>
          </cell>
          <cell r="E19">
            <v>0</v>
          </cell>
          <cell r="F19">
            <v>1</v>
          </cell>
          <cell r="G19">
            <v>2032</v>
          </cell>
          <cell r="H19">
            <v>733</v>
          </cell>
          <cell r="I19">
            <v>1299</v>
          </cell>
          <cell r="J19">
            <v>215</v>
          </cell>
          <cell r="K19">
            <v>2359</v>
          </cell>
          <cell r="L19">
            <v>0</v>
          </cell>
        </row>
        <row r="20">
          <cell r="A20" t="str">
            <v>Puerto Rico</v>
          </cell>
          <cell r="B20">
            <v>0</v>
          </cell>
          <cell r="C20">
            <v>2</v>
          </cell>
          <cell r="D20">
            <v>-2</v>
          </cell>
          <cell r="E20">
            <v>0</v>
          </cell>
          <cell r="F20">
            <v>25</v>
          </cell>
          <cell r="G20">
            <v>70</v>
          </cell>
          <cell r="H20">
            <v>372</v>
          </cell>
          <cell r="I20">
            <v>-302</v>
          </cell>
          <cell r="J20">
            <v>352</v>
          </cell>
          <cell r="K20">
            <v>450</v>
          </cell>
          <cell r="L20">
            <v>0</v>
          </cell>
        </row>
        <row r="22">
          <cell r="A22" t="str">
            <v>2ND</v>
          </cell>
          <cell r="B22">
            <v>343</v>
          </cell>
          <cell r="C22">
            <v>305</v>
          </cell>
          <cell r="D22">
            <v>38</v>
          </cell>
          <cell r="E22">
            <v>913</v>
          </cell>
          <cell r="F22">
            <v>215</v>
          </cell>
          <cell r="G22">
            <v>12207</v>
          </cell>
          <cell r="H22">
            <v>23359</v>
          </cell>
          <cell r="I22">
            <v>-11152</v>
          </cell>
          <cell r="J22">
            <v>9215</v>
          </cell>
          <cell r="K22">
            <v>20224</v>
          </cell>
          <cell r="L22">
            <v>2303</v>
          </cell>
        </row>
        <row r="23">
          <cell r="A23" t="str">
            <v>Connecticut</v>
          </cell>
          <cell r="B23">
            <v>0</v>
          </cell>
          <cell r="C23">
            <v>17</v>
          </cell>
          <cell r="D23">
            <v>-17</v>
          </cell>
          <cell r="E23">
            <v>0</v>
          </cell>
          <cell r="F23">
            <v>10</v>
          </cell>
          <cell r="G23">
            <v>532</v>
          </cell>
          <cell r="H23">
            <v>2659</v>
          </cell>
          <cell r="I23">
            <v>-2127</v>
          </cell>
          <cell r="J23">
            <v>334</v>
          </cell>
          <cell r="K23">
            <v>922</v>
          </cell>
          <cell r="L23">
            <v>0</v>
          </cell>
        </row>
        <row r="24">
          <cell r="A24" t="str">
            <v>New York, N.</v>
          </cell>
          <cell r="B24">
            <v>0</v>
          </cell>
          <cell r="C24">
            <v>23</v>
          </cell>
          <cell r="D24">
            <v>-23</v>
          </cell>
          <cell r="E24">
            <v>0</v>
          </cell>
          <cell r="F24">
            <v>2</v>
          </cell>
          <cell r="G24">
            <v>14</v>
          </cell>
          <cell r="H24">
            <v>1230</v>
          </cell>
          <cell r="I24">
            <v>-1216</v>
          </cell>
          <cell r="J24">
            <v>3</v>
          </cell>
          <cell r="K24">
            <v>85</v>
          </cell>
          <cell r="L24">
            <v>0</v>
          </cell>
        </row>
        <row r="25">
          <cell r="A25" t="str">
            <v>New York, E.</v>
          </cell>
          <cell r="B25">
            <v>215</v>
          </cell>
          <cell r="C25">
            <v>39</v>
          </cell>
          <cell r="D25">
            <v>176</v>
          </cell>
          <cell r="E25">
            <v>551</v>
          </cell>
          <cell r="F25">
            <v>101</v>
          </cell>
          <cell r="G25">
            <v>3559</v>
          </cell>
          <cell r="H25">
            <v>5251</v>
          </cell>
          <cell r="I25">
            <v>-1692</v>
          </cell>
          <cell r="J25">
            <v>2877</v>
          </cell>
          <cell r="K25">
            <v>5457</v>
          </cell>
          <cell r="L25">
            <v>833</v>
          </cell>
        </row>
        <row r="26">
          <cell r="A26" t="str">
            <v>New York, S.</v>
          </cell>
          <cell r="B26">
            <v>128</v>
          </cell>
          <cell r="C26">
            <v>199</v>
          </cell>
          <cell r="D26">
            <v>-71</v>
          </cell>
          <cell r="E26">
            <v>362</v>
          </cell>
          <cell r="F26">
            <v>79</v>
          </cell>
          <cell r="G26">
            <v>8074</v>
          </cell>
          <cell r="H26">
            <v>11881</v>
          </cell>
          <cell r="I26">
            <v>-3807</v>
          </cell>
          <cell r="J26">
            <v>5963</v>
          </cell>
          <cell r="K26">
            <v>13474</v>
          </cell>
          <cell r="L26">
            <v>1454</v>
          </cell>
        </row>
        <row r="27">
          <cell r="A27" t="str">
            <v>New York, W.</v>
          </cell>
          <cell r="B27">
            <v>0</v>
          </cell>
          <cell r="C27">
            <v>26</v>
          </cell>
          <cell r="D27">
            <v>-26</v>
          </cell>
          <cell r="E27">
            <v>0</v>
          </cell>
          <cell r="F27">
            <v>22</v>
          </cell>
          <cell r="G27">
            <v>28</v>
          </cell>
          <cell r="H27">
            <v>2179</v>
          </cell>
          <cell r="I27">
            <v>-2151</v>
          </cell>
          <cell r="J27">
            <v>38</v>
          </cell>
          <cell r="K27">
            <v>265</v>
          </cell>
          <cell r="L27">
            <v>16</v>
          </cell>
        </row>
        <row r="28">
          <cell r="A28" t="str">
            <v>Vermont</v>
          </cell>
          <cell r="B28">
            <v>0</v>
          </cell>
          <cell r="C28">
            <v>1</v>
          </cell>
          <cell r="D28">
            <v>-1</v>
          </cell>
          <cell r="E28">
            <v>0</v>
          </cell>
          <cell r="F28">
            <v>1</v>
          </cell>
          <cell r="G28">
            <v>0</v>
          </cell>
          <cell r="H28">
            <v>159</v>
          </cell>
          <cell r="I28">
            <v>-159</v>
          </cell>
          <cell r="J28">
            <v>0</v>
          </cell>
          <cell r="K28">
            <v>21</v>
          </cell>
          <cell r="L28">
            <v>0</v>
          </cell>
        </row>
        <row r="30">
          <cell r="A30" t="str">
            <v>3RD</v>
          </cell>
          <cell r="B30">
            <v>112</v>
          </cell>
          <cell r="C30">
            <v>188</v>
          </cell>
          <cell r="D30">
            <v>-76</v>
          </cell>
          <cell r="E30">
            <v>16315</v>
          </cell>
          <cell r="F30">
            <v>2417</v>
          </cell>
          <cell r="G30">
            <v>133494</v>
          </cell>
          <cell r="H30">
            <v>20491</v>
          </cell>
          <cell r="I30">
            <v>113003</v>
          </cell>
          <cell r="J30">
            <v>180890</v>
          </cell>
          <cell r="K30">
            <v>246084</v>
          </cell>
          <cell r="L30">
            <v>72409</v>
          </cell>
        </row>
        <row r="31">
          <cell r="A31" t="str">
            <v>Delaware</v>
          </cell>
          <cell r="B31">
            <v>1</v>
          </cell>
          <cell r="C31">
            <v>4</v>
          </cell>
          <cell r="D31">
            <v>-3</v>
          </cell>
          <cell r="E31">
            <v>14</v>
          </cell>
          <cell r="F31">
            <v>20</v>
          </cell>
          <cell r="G31">
            <v>199</v>
          </cell>
          <cell r="H31">
            <v>1032</v>
          </cell>
          <cell r="I31">
            <v>-833</v>
          </cell>
          <cell r="J31">
            <v>229</v>
          </cell>
          <cell r="K31">
            <v>523</v>
          </cell>
          <cell r="L31">
            <v>58</v>
          </cell>
        </row>
        <row r="32">
          <cell r="A32" t="str">
            <v>New Jersey</v>
          </cell>
          <cell r="B32">
            <v>47</v>
          </cell>
          <cell r="C32">
            <v>84</v>
          </cell>
          <cell r="D32">
            <v>-37</v>
          </cell>
          <cell r="E32">
            <v>16193</v>
          </cell>
          <cell r="F32">
            <v>1483</v>
          </cell>
          <cell r="G32">
            <v>5650</v>
          </cell>
          <cell r="H32">
            <v>7305</v>
          </cell>
          <cell r="I32">
            <v>-1655</v>
          </cell>
          <cell r="J32">
            <v>78882</v>
          </cell>
          <cell r="K32">
            <v>16575</v>
          </cell>
          <cell r="L32">
            <v>70165</v>
          </cell>
        </row>
        <row r="33">
          <cell r="A33" t="str">
            <v>Pennsylvania, E.</v>
          </cell>
          <cell r="B33">
            <v>9</v>
          </cell>
          <cell r="C33">
            <v>37</v>
          </cell>
          <cell r="D33">
            <v>-28</v>
          </cell>
          <cell r="E33">
            <v>108</v>
          </cell>
          <cell r="F33">
            <v>884</v>
          </cell>
          <cell r="G33">
            <v>126673</v>
          </cell>
          <cell r="H33">
            <v>9822</v>
          </cell>
          <cell r="I33">
            <v>116851</v>
          </cell>
          <cell r="J33">
            <v>101368</v>
          </cell>
          <cell r="K33">
            <v>228082</v>
          </cell>
          <cell r="L33">
            <v>1375</v>
          </cell>
        </row>
        <row r="34">
          <cell r="A34" t="str">
            <v>Pennsylvania, M.</v>
          </cell>
          <cell r="B34">
            <v>1</v>
          </cell>
          <cell r="C34">
            <v>18</v>
          </cell>
          <cell r="D34">
            <v>-17</v>
          </cell>
          <cell r="E34">
            <v>0</v>
          </cell>
          <cell r="F34">
            <v>6</v>
          </cell>
          <cell r="G34">
            <v>233</v>
          </cell>
          <cell r="H34">
            <v>835</v>
          </cell>
          <cell r="I34">
            <v>-602</v>
          </cell>
          <cell r="J34">
            <v>30</v>
          </cell>
          <cell r="K34">
            <v>203</v>
          </cell>
          <cell r="L34">
            <v>6</v>
          </cell>
        </row>
        <row r="35">
          <cell r="A35" t="str">
            <v>Pennsylvania, W.</v>
          </cell>
          <cell r="B35">
            <v>54</v>
          </cell>
          <cell r="C35">
            <v>45</v>
          </cell>
          <cell r="D35">
            <v>9</v>
          </cell>
          <cell r="E35">
            <v>0</v>
          </cell>
          <cell r="F35">
            <v>24</v>
          </cell>
          <cell r="G35">
            <v>739</v>
          </cell>
          <cell r="H35">
            <v>1353</v>
          </cell>
          <cell r="I35">
            <v>-614</v>
          </cell>
          <cell r="J35">
            <v>381</v>
          </cell>
          <cell r="K35">
            <v>701</v>
          </cell>
          <cell r="L35">
            <v>805</v>
          </cell>
        </row>
        <row r="36">
          <cell r="A36" t="str">
            <v>Virgin Islands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144</v>
          </cell>
          <cell r="I36">
            <v>-144</v>
          </cell>
          <cell r="J36">
            <v>0</v>
          </cell>
          <cell r="K36">
            <v>0</v>
          </cell>
          <cell r="L36">
            <v>0</v>
          </cell>
        </row>
        <row r="38">
          <cell r="A38" t="str">
            <v>4TH</v>
          </cell>
          <cell r="B38">
            <v>371</v>
          </cell>
          <cell r="C38">
            <v>158</v>
          </cell>
          <cell r="D38">
            <v>213</v>
          </cell>
          <cell r="E38">
            <v>2800</v>
          </cell>
          <cell r="F38">
            <v>516</v>
          </cell>
          <cell r="G38">
            <v>11418</v>
          </cell>
          <cell r="H38">
            <v>32416</v>
          </cell>
          <cell r="I38">
            <v>-20998</v>
          </cell>
          <cell r="J38">
            <v>111430</v>
          </cell>
          <cell r="K38">
            <v>116145</v>
          </cell>
          <cell r="L38">
            <v>6502</v>
          </cell>
        </row>
        <row r="39">
          <cell r="A39" t="str">
            <v>Maryland</v>
          </cell>
          <cell r="B39">
            <v>1</v>
          </cell>
          <cell r="C39">
            <v>51</v>
          </cell>
          <cell r="D39">
            <v>-50</v>
          </cell>
          <cell r="E39">
            <v>4</v>
          </cell>
          <cell r="F39">
            <v>390</v>
          </cell>
          <cell r="G39">
            <v>1753</v>
          </cell>
          <cell r="H39">
            <v>3378</v>
          </cell>
          <cell r="I39">
            <v>-1625</v>
          </cell>
          <cell r="J39">
            <v>1148</v>
          </cell>
          <cell r="K39">
            <v>2595</v>
          </cell>
          <cell r="L39">
            <v>307</v>
          </cell>
        </row>
        <row r="40">
          <cell r="A40" t="str">
            <v>North Carolina,  E.</v>
          </cell>
          <cell r="B40">
            <v>0</v>
          </cell>
          <cell r="C40">
            <v>22</v>
          </cell>
          <cell r="D40">
            <v>-22</v>
          </cell>
          <cell r="E40">
            <v>0</v>
          </cell>
          <cell r="F40">
            <v>7</v>
          </cell>
          <cell r="G40">
            <v>136</v>
          </cell>
          <cell r="H40">
            <v>1424</v>
          </cell>
          <cell r="I40">
            <v>-1288</v>
          </cell>
          <cell r="J40">
            <v>15</v>
          </cell>
          <cell r="K40">
            <v>200</v>
          </cell>
          <cell r="L40">
            <v>0</v>
          </cell>
        </row>
        <row r="41">
          <cell r="A41" t="str">
            <v>North Carolina, M.</v>
          </cell>
          <cell r="B41">
            <v>19</v>
          </cell>
          <cell r="C41">
            <v>18</v>
          </cell>
          <cell r="D41">
            <v>1</v>
          </cell>
          <cell r="E41">
            <v>25</v>
          </cell>
          <cell r="F41">
            <v>11</v>
          </cell>
          <cell r="G41">
            <v>38</v>
          </cell>
          <cell r="H41">
            <v>1135</v>
          </cell>
          <cell r="I41">
            <v>-1097</v>
          </cell>
          <cell r="J41">
            <v>40</v>
          </cell>
          <cell r="K41">
            <v>70</v>
          </cell>
          <cell r="L41">
            <v>30</v>
          </cell>
        </row>
        <row r="42">
          <cell r="A42" t="str">
            <v>North Carolina, W.</v>
          </cell>
          <cell r="B42">
            <v>16</v>
          </cell>
          <cell r="C42">
            <v>5</v>
          </cell>
          <cell r="D42">
            <v>11</v>
          </cell>
          <cell r="E42">
            <v>32</v>
          </cell>
          <cell r="F42">
            <v>6</v>
          </cell>
          <cell r="G42">
            <v>200</v>
          </cell>
          <cell r="H42">
            <v>1973</v>
          </cell>
          <cell r="I42">
            <v>-1773</v>
          </cell>
          <cell r="J42">
            <v>177</v>
          </cell>
          <cell r="K42">
            <v>275</v>
          </cell>
          <cell r="L42">
            <v>97</v>
          </cell>
        </row>
        <row r="43">
          <cell r="A43" t="str">
            <v>South Carolina</v>
          </cell>
          <cell r="B43">
            <v>324</v>
          </cell>
          <cell r="C43">
            <v>31</v>
          </cell>
          <cell r="D43">
            <v>293</v>
          </cell>
          <cell r="E43">
            <v>2728</v>
          </cell>
          <cell r="F43">
            <v>78</v>
          </cell>
          <cell r="G43">
            <v>2869</v>
          </cell>
          <cell r="H43">
            <v>4198</v>
          </cell>
          <cell r="I43">
            <v>-1329</v>
          </cell>
          <cell r="J43">
            <v>7500</v>
          </cell>
          <cell r="K43">
            <v>5272</v>
          </cell>
          <cell r="L43">
            <v>6033</v>
          </cell>
        </row>
        <row r="44">
          <cell r="A44" t="str">
            <v>Virginia, E.</v>
          </cell>
          <cell r="B44">
            <v>11</v>
          </cell>
          <cell r="C44">
            <v>10</v>
          </cell>
          <cell r="D44">
            <v>1</v>
          </cell>
          <cell r="E44">
            <v>11</v>
          </cell>
          <cell r="F44">
            <v>14</v>
          </cell>
          <cell r="G44">
            <v>270</v>
          </cell>
          <cell r="H44">
            <v>11995</v>
          </cell>
          <cell r="I44">
            <v>-11725</v>
          </cell>
          <cell r="J44">
            <v>135</v>
          </cell>
          <cell r="K44">
            <v>324</v>
          </cell>
          <cell r="L44">
            <v>35</v>
          </cell>
        </row>
        <row r="45">
          <cell r="A45" t="str">
            <v>Virginia, W.</v>
          </cell>
          <cell r="B45">
            <v>0</v>
          </cell>
          <cell r="C45">
            <v>4</v>
          </cell>
          <cell r="D45">
            <v>-4</v>
          </cell>
          <cell r="E45">
            <v>0</v>
          </cell>
          <cell r="F45">
            <v>3</v>
          </cell>
          <cell r="G45">
            <v>3</v>
          </cell>
          <cell r="H45">
            <v>1212</v>
          </cell>
          <cell r="I45">
            <v>-1209</v>
          </cell>
          <cell r="J45">
            <v>2</v>
          </cell>
          <cell r="K45">
            <v>33</v>
          </cell>
          <cell r="L45">
            <v>0</v>
          </cell>
        </row>
        <row r="46">
          <cell r="A46" t="str">
            <v>West Virginia, N.</v>
          </cell>
          <cell r="B46">
            <v>0</v>
          </cell>
          <cell r="C46">
            <v>5</v>
          </cell>
          <cell r="D46">
            <v>-5</v>
          </cell>
          <cell r="E46">
            <v>0</v>
          </cell>
          <cell r="F46">
            <v>1</v>
          </cell>
          <cell r="G46">
            <v>38</v>
          </cell>
          <cell r="H46">
            <v>414</v>
          </cell>
          <cell r="I46">
            <v>-376</v>
          </cell>
          <cell r="J46">
            <v>4</v>
          </cell>
          <cell r="K46">
            <v>23</v>
          </cell>
          <cell r="L46">
            <v>0</v>
          </cell>
        </row>
        <row r="47">
          <cell r="A47" t="str">
            <v>West Virginia, S.</v>
          </cell>
          <cell r="B47">
            <v>0</v>
          </cell>
          <cell r="C47">
            <v>12</v>
          </cell>
          <cell r="D47">
            <v>-12</v>
          </cell>
          <cell r="E47">
            <v>0</v>
          </cell>
          <cell r="F47">
            <v>6</v>
          </cell>
          <cell r="G47">
            <v>6111</v>
          </cell>
          <cell r="H47">
            <v>6687</v>
          </cell>
          <cell r="I47">
            <v>-576</v>
          </cell>
          <cell r="J47">
            <v>102409</v>
          </cell>
          <cell r="K47">
            <v>107353</v>
          </cell>
          <cell r="L47">
            <v>0</v>
          </cell>
        </row>
        <row r="49">
          <cell r="A49" t="str">
            <v>5TH</v>
          </cell>
          <cell r="B49">
            <v>2</v>
          </cell>
          <cell r="C49">
            <v>139</v>
          </cell>
          <cell r="D49">
            <v>-137</v>
          </cell>
          <cell r="E49">
            <v>185</v>
          </cell>
          <cell r="F49">
            <v>2936</v>
          </cell>
          <cell r="G49">
            <v>18192</v>
          </cell>
          <cell r="H49">
            <v>40615</v>
          </cell>
          <cell r="I49">
            <v>-22423</v>
          </cell>
          <cell r="J49">
            <v>72548</v>
          </cell>
          <cell r="K49">
            <v>78037</v>
          </cell>
          <cell r="L49">
            <v>11503</v>
          </cell>
        </row>
        <row r="50">
          <cell r="A50" t="str">
            <v>Louisiana, E.</v>
          </cell>
          <cell r="B50">
            <v>1</v>
          </cell>
          <cell r="C50">
            <v>45</v>
          </cell>
          <cell r="D50">
            <v>-44</v>
          </cell>
          <cell r="E50">
            <v>179</v>
          </cell>
          <cell r="F50">
            <v>2737</v>
          </cell>
          <cell r="G50">
            <v>11520</v>
          </cell>
          <cell r="H50">
            <v>3343</v>
          </cell>
          <cell r="I50">
            <v>8177</v>
          </cell>
          <cell r="J50">
            <v>58735</v>
          </cell>
          <cell r="K50">
            <v>56960</v>
          </cell>
          <cell r="L50">
            <v>11471</v>
          </cell>
        </row>
        <row r="51">
          <cell r="A51" t="str">
            <v>Louisiana, M.</v>
          </cell>
          <cell r="B51">
            <v>0</v>
          </cell>
          <cell r="C51">
            <v>11</v>
          </cell>
          <cell r="D51">
            <v>-11</v>
          </cell>
          <cell r="E51">
            <v>0</v>
          </cell>
          <cell r="F51">
            <v>10</v>
          </cell>
          <cell r="G51">
            <v>8</v>
          </cell>
          <cell r="H51">
            <v>1400</v>
          </cell>
          <cell r="I51">
            <v>-1392</v>
          </cell>
          <cell r="J51">
            <v>18</v>
          </cell>
          <cell r="K51">
            <v>100</v>
          </cell>
          <cell r="L51">
            <v>0</v>
          </cell>
        </row>
        <row r="52">
          <cell r="A52" t="str">
            <v>Louisiana, W.</v>
          </cell>
          <cell r="B52">
            <v>0</v>
          </cell>
          <cell r="C52">
            <v>21</v>
          </cell>
          <cell r="D52">
            <v>-21</v>
          </cell>
          <cell r="E52">
            <v>0</v>
          </cell>
          <cell r="F52">
            <v>29</v>
          </cell>
          <cell r="G52">
            <v>419</v>
          </cell>
          <cell r="H52">
            <v>2587</v>
          </cell>
          <cell r="I52">
            <v>-2168</v>
          </cell>
          <cell r="J52">
            <v>4807</v>
          </cell>
          <cell r="K52">
            <v>5359</v>
          </cell>
          <cell r="L52">
            <v>0</v>
          </cell>
        </row>
        <row r="53">
          <cell r="A53" t="str">
            <v>Mississippi, N.</v>
          </cell>
          <cell r="B53">
            <v>0</v>
          </cell>
          <cell r="C53">
            <v>4</v>
          </cell>
          <cell r="D53">
            <v>-4</v>
          </cell>
          <cell r="E53">
            <v>0</v>
          </cell>
          <cell r="F53">
            <v>3</v>
          </cell>
          <cell r="G53">
            <v>6</v>
          </cell>
          <cell r="H53">
            <v>1373</v>
          </cell>
          <cell r="I53">
            <v>-1367</v>
          </cell>
          <cell r="J53">
            <v>7</v>
          </cell>
          <cell r="K53">
            <v>69</v>
          </cell>
          <cell r="L53">
            <v>0</v>
          </cell>
        </row>
        <row r="54">
          <cell r="A54" t="str">
            <v>Mississippi, S.</v>
          </cell>
          <cell r="B54">
            <v>0</v>
          </cell>
          <cell r="C54">
            <v>7</v>
          </cell>
          <cell r="D54">
            <v>-7</v>
          </cell>
          <cell r="E54">
            <v>0</v>
          </cell>
          <cell r="F54">
            <v>19</v>
          </cell>
          <cell r="G54">
            <v>27</v>
          </cell>
          <cell r="H54">
            <v>6240</v>
          </cell>
          <cell r="I54">
            <v>-6213</v>
          </cell>
          <cell r="J54">
            <v>9</v>
          </cell>
          <cell r="K54">
            <v>219</v>
          </cell>
          <cell r="L54">
            <v>0</v>
          </cell>
        </row>
        <row r="55">
          <cell r="A55" t="str">
            <v>Texas, N.</v>
          </cell>
          <cell r="B55">
            <v>0</v>
          </cell>
          <cell r="C55">
            <v>18</v>
          </cell>
          <cell r="D55">
            <v>-18</v>
          </cell>
          <cell r="E55">
            <v>3</v>
          </cell>
          <cell r="F55">
            <v>90</v>
          </cell>
          <cell r="G55">
            <v>2263</v>
          </cell>
          <cell r="H55">
            <v>3931</v>
          </cell>
          <cell r="I55">
            <v>-1668</v>
          </cell>
          <cell r="J55">
            <v>7940</v>
          </cell>
          <cell r="K55">
            <v>8229</v>
          </cell>
          <cell r="L55">
            <v>25</v>
          </cell>
        </row>
        <row r="56">
          <cell r="A56" t="str">
            <v>Texas, E.</v>
          </cell>
          <cell r="B56">
            <v>1</v>
          </cell>
          <cell r="C56">
            <v>7</v>
          </cell>
          <cell r="D56">
            <v>-6</v>
          </cell>
          <cell r="E56">
            <v>3</v>
          </cell>
          <cell r="F56">
            <v>16</v>
          </cell>
          <cell r="G56">
            <v>3452</v>
          </cell>
          <cell r="H56">
            <v>8107</v>
          </cell>
          <cell r="I56">
            <v>-4655</v>
          </cell>
          <cell r="J56">
            <v>635</v>
          </cell>
          <cell r="K56">
            <v>5836</v>
          </cell>
          <cell r="L56">
            <v>7</v>
          </cell>
        </row>
        <row r="57">
          <cell r="A57" t="str">
            <v>Texas, S.</v>
          </cell>
          <cell r="B57">
            <v>0</v>
          </cell>
          <cell r="C57">
            <v>17</v>
          </cell>
          <cell r="D57">
            <v>-17</v>
          </cell>
          <cell r="E57">
            <v>0</v>
          </cell>
          <cell r="F57">
            <v>21</v>
          </cell>
          <cell r="G57">
            <v>470</v>
          </cell>
          <cell r="H57">
            <v>11961</v>
          </cell>
          <cell r="I57">
            <v>-11491</v>
          </cell>
          <cell r="J57">
            <v>382</v>
          </cell>
          <cell r="K57">
            <v>1103</v>
          </cell>
          <cell r="L57">
            <v>0</v>
          </cell>
        </row>
        <row r="58">
          <cell r="A58" t="str">
            <v>Texas, W.</v>
          </cell>
          <cell r="B58">
            <v>0</v>
          </cell>
          <cell r="C58">
            <v>9</v>
          </cell>
          <cell r="D58">
            <v>-9</v>
          </cell>
          <cell r="E58">
            <v>0</v>
          </cell>
          <cell r="F58">
            <v>11</v>
          </cell>
          <cell r="G58">
            <v>27</v>
          </cell>
          <cell r="H58">
            <v>1673</v>
          </cell>
          <cell r="I58">
            <v>-1646</v>
          </cell>
          <cell r="J58">
            <v>15</v>
          </cell>
          <cell r="K58">
            <v>162</v>
          </cell>
          <cell r="L58">
            <v>0</v>
          </cell>
        </row>
        <row r="60">
          <cell r="A60" t="str">
            <v>6TH</v>
          </cell>
          <cell r="B60">
            <v>71</v>
          </cell>
          <cell r="C60">
            <v>158</v>
          </cell>
          <cell r="D60">
            <v>-87</v>
          </cell>
          <cell r="E60">
            <v>2946</v>
          </cell>
          <cell r="F60">
            <v>534</v>
          </cell>
          <cell r="G60">
            <v>14230</v>
          </cell>
          <cell r="H60">
            <v>60505</v>
          </cell>
          <cell r="I60">
            <v>-46275</v>
          </cell>
          <cell r="J60">
            <v>44773</v>
          </cell>
          <cell r="K60">
            <v>34502</v>
          </cell>
          <cell r="L60">
            <v>23681</v>
          </cell>
        </row>
        <row r="61">
          <cell r="A61" t="str">
            <v>Kentucky, E.</v>
          </cell>
          <cell r="B61">
            <v>0</v>
          </cell>
          <cell r="C61">
            <v>24</v>
          </cell>
          <cell r="D61">
            <v>-24</v>
          </cell>
          <cell r="E61">
            <v>0</v>
          </cell>
          <cell r="F61">
            <v>105</v>
          </cell>
          <cell r="G61">
            <v>519</v>
          </cell>
          <cell r="H61">
            <v>1114</v>
          </cell>
          <cell r="I61">
            <v>-595</v>
          </cell>
          <cell r="J61">
            <v>196</v>
          </cell>
          <cell r="K61">
            <v>565</v>
          </cell>
          <cell r="L61">
            <v>0</v>
          </cell>
        </row>
        <row r="62">
          <cell r="A62" t="str">
            <v>Kentucky, W.</v>
          </cell>
          <cell r="B62">
            <v>0</v>
          </cell>
          <cell r="C62">
            <v>11</v>
          </cell>
          <cell r="D62">
            <v>-11</v>
          </cell>
          <cell r="E62">
            <v>0</v>
          </cell>
          <cell r="F62">
            <v>12</v>
          </cell>
          <cell r="G62">
            <v>616</v>
          </cell>
          <cell r="H62">
            <v>1383</v>
          </cell>
          <cell r="I62">
            <v>-767</v>
          </cell>
          <cell r="J62">
            <v>1201</v>
          </cell>
          <cell r="K62">
            <v>1921</v>
          </cell>
          <cell r="L62">
            <v>3</v>
          </cell>
        </row>
        <row r="63">
          <cell r="A63" t="str">
            <v>Michigan, E.</v>
          </cell>
          <cell r="B63">
            <v>0</v>
          </cell>
          <cell r="C63">
            <v>22</v>
          </cell>
          <cell r="D63">
            <v>-22</v>
          </cell>
          <cell r="E63">
            <v>0</v>
          </cell>
          <cell r="F63">
            <v>28</v>
          </cell>
          <cell r="G63">
            <v>718</v>
          </cell>
          <cell r="H63">
            <v>2513</v>
          </cell>
          <cell r="I63">
            <v>-1795</v>
          </cell>
          <cell r="J63">
            <v>732</v>
          </cell>
          <cell r="K63">
            <v>1185</v>
          </cell>
          <cell r="L63">
            <v>64</v>
          </cell>
        </row>
        <row r="64">
          <cell r="A64" t="str">
            <v>Michigan, W.</v>
          </cell>
          <cell r="B64">
            <v>0</v>
          </cell>
          <cell r="C64">
            <v>5</v>
          </cell>
          <cell r="D64">
            <v>-5</v>
          </cell>
          <cell r="E64">
            <v>0</v>
          </cell>
          <cell r="F64">
            <v>10</v>
          </cell>
          <cell r="G64">
            <v>22</v>
          </cell>
          <cell r="H64">
            <v>379</v>
          </cell>
          <cell r="I64">
            <v>-357</v>
          </cell>
          <cell r="J64">
            <v>21</v>
          </cell>
          <cell r="K64">
            <v>68</v>
          </cell>
          <cell r="L64">
            <v>0</v>
          </cell>
        </row>
        <row r="65">
          <cell r="A65" t="str">
            <v>Ohio, N.</v>
          </cell>
          <cell r="B65">
            <v>4</v>
          </cell>
          <cell r="C65">
            <v>31</v>
          </cell>
          <cell r="D65">
            <v>-27</v>
          </cell>
          <cell r="E65">
            <v>50</v>
          </cell>
          <cell r="F65">
            <v>70</v>
          </cell>
          <cell r="G65">
            <v>6368</v>
          </cell>
          <cell r="H65">
            <v>49705</v>
          </cell>
          <cell r="I65">
            <v>-43337</v>
          </cell>
          <cell r="J65">
            <v>20723</v>
          </cell>
          <cell r="K65">
            <v>26693</v>
          </cell>
          <cell r="L65">
            <v>3261</v>
          </cell>
        </row>
        <row r="66">
          <cell r="A66" t="str">
            <v>Ohio, S.</v>
          </cell>
          <cell r="B66">
            <v>31</v>
          </cell>
          <cell r="C66">
            <v>22</v>
          </cell>
          <cell r="D66">
            <v>9</v>
          </cell>
          <cell r="E66">
            <v>2889</v>
          </cell>
          <cell r="F66">
            <v>279</v>
          </cell>
          <cell r="G66">
            <v>5209</v>
          </cell>
          <cell r="H66">
            <v>1982</v>
          </cell>
          <cell r="I66">
            <v>3227</v>
          </cell>
          <cell r="J66">
            <v>21696</v>
          </cell>
          <cell r="K66">
            <v>2915</v>
          </cell>
          <cell r="L66">
            <v>20292</v>
          </cell>
        </row>
        <row r="67">
          <cell r="A67" t="str">
            <v>Tennesee, E.</v>
          </cell>
          <cell r="B67">
            <v>0</v>
          </cell>
          <cell r="C67">
            <v>4</v>
          </cell>
          <cell r="D67">
            <v>-4</v>
          </cell>
          <cell r="E67">
            <v>0</v>
          </cell>
          <cell r="F67">
            <v>7</v>
          </cell>
          <cell r="G67">
            <v>35</v>
          </cell>
          <cell r="H67">
            <v>1202</v>
          </cell>
          <cell r="I67">
            <v>-1167</v>
          </cell>
          <cell r="J67">
            <v>43</v>
          </cell>
          <cell r="K67">
            <v>158</v>
          </cell>
          <cell r="L67">
            <v>0</v>
          </cell>
        </row>
        <row r="68">
          <cell r="A68" t="str">
            <v>Tennesee, M.</v>
          </cell>
          <cell r="B68">
            <v>36</v>
          </cell>
          <cell r="C68">
            <v>33</v>
          </cell>
          <cell r="D68">
            <v>3</v>
          </cell>
          <cell r="E68">
            <v>7</v>
          </cell>
          <cell r="F68">
            <v>11</v>
          </cell>
          <cell r="G68">
            <v>671</v>
          </cell>
          <cell r="H68">
            <v>1064</v>
          </cell>
          <cell r="I68">
            <v>-393</v>
          </cell>
          <cell r="J68">
            <v>88</v>
          </cell>
          <cell r="K68">
            <v>775</v>
          </cell>
          <cell r="L68">
            <v>41</v>
          </cell>
        </row>
        <row r="69">
          <cell r="A69" t="str">
            <v>Tennessee, W.</v>
          </cell>
          <cell r="B69">
            <v>0</v>
          </cell>
          <cell r="C69">
            <v>6</v>
          </cell>
          <cell r="D69">
            <v>-6</v>
          </cell>
          <cell r="E69">
            <v>0</v>
          </cell>
          <cell r="F69">
            <v>12</v>
          </cell>
          <cell r="G69">
            <v>72</v>
          </cell>
          <cell r="H69">
            <v>1163</v>
          </cell>
          <cell r="I69">
            <v>-1091</v>
          </cell>
          <cell r="J69">
            <v>73</v>
          </cell>
          <cell r="K69">
            <v>222</v>
          </cell>
          <cell r="L69">
            <v>20</v>
          </cell>
        </row>
        <row r="71">
          <cell r="A71" t="str">
            <v>7TH</v>
          </cell>
          <cell r="B71">
            <v>359</v>
          </cell>
          <cell r="C71">
            <v>137</v>
          </cell>
          <cell r="D71">
            <v>222</v>
          </cell>
          <cell r="E71">
            <v>8225</v>
          </cell>
          <cell r="F71">
            <v>718</v>
          </cell>
          <cell r="G71">
            <v>9717</v>
          </cell>
          <cell r="H71">
            <v>14210</v>
          </cell>
          <cell r="I71">
            <v>-4493</v>
          </cell>
          <cell r="J71">
            <v>43909</v>
          </cell>
          <cell r="K71">
            <v>35893</v>
          </cell>
          <cell r="L71">
            <v>18781</v>
          </cell>
        </row>
        <row r="72">
          <cell r="A72" t="str">
            <v>Illinois, N.</v>
          </cell>
          <cell r="B72">
            <v>167</v>
          </cell>
          <cell r="C72">
            <v>61</v>
          </cell>
          <cell r="D72">
            <v>106</v>
          </cell>
          <cell r="E72">
            <v>5048</v>
          </cell>
          <cell r="F72">
            <v>84</v>
          </cell>
          <cell r="G72">
            <v>5348</v>
          </cell>
          <cell r="H72">
            <v>4101</v>
          </cell>
          <cell r="I72">
            <v>1247</v>
          </cell>
          <cell r="J72">
            <v>12823</v>
          </cell>
          <cell r="K72">
            <v>12787</v>
          </cell>
          <cell r="L72">
            <v>6018</v>
          </cell>
        </row>
        <row r="73">
          <cell r="A73" t="str">
            <v>Illinois, E.*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9</v>
          </cell>
          <cell r="I73">
            <v>-9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Illinois, C.</v>
          </cell>
          <cell r="B74">
            <v>0</v>
          </cell>
          <cell r="C74">
            <v>7</v>
          </cell>
          <cell r="D74">
            <v>-7</v>
          </cell>
          <cell r="E74">
            <v>0</v>
          </cell>
          <cell r="F74">
            <v>6</v>
          </cell>
          <cell r="G74">
            <v>46</v>
          </cell>
          <cell r="H74">
            <v>1437</v>
          </cell>
          <cell r="I74">
            <v>-1391</v>
          </cell>
          <cell r="J74">
            <v>18</v>
          </cell>
          <cell r="K74">
            <v>114</v>
          </cell>
          <cell r="L74">
            <v>0</v>
          </cell>
        </row>
        <row r="75">
          <cell r="A75" t="str">
            <v>Illinois, S.</v>
          </cell>
          <cell r="B75">
            <v>18</v>
          </cell>
          <cell r="C75">
            <v>18</v>
          </cell>
          <cell r="D75">
            <v>0</v>
          </cell>
          <cell r="E75">
            <v>2992</v>
          </cell>
          <cell r="F75">
            <v>255</v>
          </cell>
          <cell r="G75">
            <v>1398</v>
          </cell>
          <cell r="H75">
            <v>1712</v>
          </cell>
          <cell r="I75">
            <v>-314</v>
          </cell>
          <cell r="J75">
            <v>18238</v>
          </cell>
          <cell r="K75">
            <v>15041</v>
          </cell>
          <cell r="L75">
            <v>4759</v>
          </cell>
        </row>
        <row r="76">
          <cell r="A76" t="str">
            <v>Indiana, N.</v>
          </cell>
          <cell r="B76">
            <v>0</v>
          </cell>
          <cell r="C76">
            <v>9</v>
          </cell>
          <cell r="D76">
            <v>-9</v>
          </cell>
          <cell r="E76">
            <v>0</v>
          </cell>
          <cell r="F76">
            <v>9</v>
          </cell>
          <cell r="G76">
            <v>628</v>
          </cell>
          <cell r="H76">
            <v>1919</v>
          </cell>
          <cell r="I76">
            <v>-1291</v>
          </cell>
          <cell r="J76">
            <v>2340</v>
          </cell>
          <cell r="K76">
            <v>2980</v>
          </cell>
          <cell r="L76">
            <v>0</v>
          </cell>
        </row>
        <row r="77">
          <cell r="A77" t="str">
            <v>Indiana, S.</v>
          </cell>
          <cell r="B77">
            <v>160</v>
          </cell>
          <cell r="C77">
            <v>23</v>
          </cell>
          <cell r="D77">
            <v>137</v>
          </cell>
          <cell r="E77">
            <v>181</v>
          </cell>
          <cell r="F77">
            <v>348</v>
          </cell>
          <cell r="G77">
            <v>2150</v>
          </cell>
          <cell r="H77">
            <v>3175</v>
          </cell>
          <cell r="I77">
            <v>-1025</v>
          </cell>
          <cell r="J77">
            <v>10338</v>
          </cell>
          <cell r="K77">
            <v>4623</v>
          </cell>
          <cell r="L77">
            <v>7986</v>
          </cell>
        </row>
        <row r="78">
          <cell r="A78" t="str">
            <v>Wisconsin, E.</v>
          </cell>
          <cell r="B78">
            <v>14</v>
          </cell>
          <cell r="C78">
            <v>8</v>
          </cell>
          <cell r="D78">
            <v>6</v>
          </cell>
          <cell r="E78">
            <v>4</v>
          </cell>
          <cell r="F78">
            <v>8</v>
          </cell>
          <cell r="G78">
            <v>109</v>
          </cell>
          <cell r="H78">
            <v>1297</v>
          </cell>
          <cell r="I78">
            <v>-1188</v>
          </cell>
          <cell r="J78">
            <v>12</v>
          </cell>
          <cell r="K78">
            <v>136</v>
          </cell>
          <cell r="L78">
            <v>18</v>
          </cell>
        </row>
        <row r="79">
          <cell r="A79" t="str">
            <v>Wisconsin, W.</v>
          </cell>
          <cell r="B79">
            <v>0</v>
          </cell>
          <cell r="C79">
            <v>11</v>
          </cell>
          <cell r="D79">
            <v>-11</v>
          </cell>
          <cell r="E79">
            <v>0</v>
          </cell>
          <cell r="F79">
            <v>8</v>
          </cell>
          <cell r="G79">
            <v>38</v>
          </cell>
          <cell r="H79">
            <v>560</v>
          </cell>
          <cell r="I79">
            <v>-522</v>
          </cell>
          <cell r="J79">
            <v>140</v>
          </cell>
          <cell r="K79">
            <v>212</v>
          </cell>
          <cell r="L79">
            <v>0</v>
          </cell>
        </row>
        <row r="81">
          <cell r="A81" t="str">
            <v>8TH</v>
          </cell>
          <cell r="B81">
            <v>40</v>
          </cell>
          <cell r="C81">
            <v>511</v>
          </cell>
          <cell r="D81">
            <v>-471</v>
          </cell>
          <cell r="E81">
            <v>805</v>
          </cell>
          <cell r="F81">
            <v>432</v>
          </cell>
          <cell r="G81">
            <v>23928</v>
          </cell>
          <cell r="H81">
            <v>26969</v>
          </cell>
          <cell r="I81">
            <v>-3041</v>
          </cell>
          <cell r="J81">
            <v>18909</v>
          </cell>
          <cell r="K81">
            <v>42684</v>
          </cell>
          <cell r="L81">
            <v>6161</v>
          </cell>
        </row>
        <row r="82">
          <cell r="A82" t="str">
            <v>Arkansas, E.</v>
          </cell>
          <cell r="B82">
            <v>1</v>
          </cell>
          <cell r="C82">
            <v>18</v>
          </cell>
          <cell r="D82">
            <v>-17</v>
          </cell>
          <cell r="E82">
            <v>6</v>
          </cell>
          <cell r="F82">
            <v>60</v>
          </cell>
          <cell r="G82">
            <v>9774</v>
          </cell>
          <cell r="H82">
            <v>1006</v>
          </cell>
          <cell r="I82">
            <v>8768</v>
          </cell>
          <cell r="J82">
            <v>319</v>
          </cell>
          <cell r="K82">
            <v>10041</v>
          </cell>
          <cell r="L82">
            <v>32</v>
          </cell>
        </row>
        <row r="83">
          <cell r="A83" t="str">
            <v>Arkansas, W.</v>
          </cell>
          <cell r="B83">
            <v>0</v>
          </cell>
          <cell r="C83">
            <v>5</v>
          </cell>
          <cell r="D83">
            <v>-5</v>
          </cell>
          <cell r="E83">
            <v>0</v>
          </cell>
          <cell r="F83">
            <v>3</v>
          </cell>
          <cell r="G83">
            <v>15</v>
          </cell>
          <cell r="H83">
            <v>499</v>
          </cell>
          <cell r="I83">
            <v>-484</v>
          </cell>
          <cell r="J83">
            <v>1</v>
          </cell>
          <cell r="K83">
            <v>49</v>
          </cell>
          <cell r="L83">
            <v>0</v>
          </cell>
        </row>
        <row r="84">
          <cell r="A84" t="str">
            <v>Iowa, N.</v>
          </cell>
          <cell r="B84">
            <v>0</v>
          </cell>
          <cell r="C84">
            <v>6</v>
          </cell>
          <cell r="D84">
            <v>-6</v>
          </cell>
          <cell r="E84">
            <v>0</v>
          </cell>
          <cell r="F84">
            <v>2</v>
          </cell>
          <cell r="G84">
            <v>4</v>
          </cell>
          <cell r="H84">
            <v>567</v>
          </cell>
          <cell r="I84">
            <v>-563</v>
          </cell>
          <cell r="J84">
            <v>4</v>
          </cell>
          <cell r="K84">
            <v>268</v>
          </cell>
          <cell r="L84">
            <v>0</v>
          </cell>
        </row>
        <row r="85">
          <cell r="A85" t="str">
            <v>Iowa, S.</v>
          </cell>
          <cell r="B85">
            <v>0</v>
          </cell>
          <cell r="C85">
            <v>9</v>
          </cell>
          <cell r="D85">
            <v>-9</v>
          </cell>
          <cell r="E85">
            <v>0</v>
          </cell>
          <cell r="F85">
            <v>3</v>
          </cell>
          <cell r="G85">
            <v>26</v>
          </cell>
          <cell r="H85">
            <v>1448</v>
          </cell>
          <cell r="I85">
            <v>-1422</v>
          </cell>
          <cell r="J85">
            <v>5</v>
          </cell>
          <cell r="K85">
            <v>86</v>
          </cell>
          <cell r="L85">
            <v>0</v>
          </cell>
        </row>
        <row r="86">
          <cell r="A86" t="str">
            <v>Minnesota</v>
          </cell>
          <cell r="B86">
            <v>23</v>
          </cell>
          <cell r="C86">
            <v>338</v>
          </cell>
          <cell r="D86">
            <v>-315</v>
          </cell>
          <cell r="E86">
            <v>797</v>
          </cell>
          <cell r="F86">
            <v>298</v>
          </cell>
          <cell r="G86">
            <v>10961</v>
          </cell>
          <cell r="H86">
            <v>15856</v>
          </cell>
          <cell r="I86">
            <v>-4895</v>
          </cell>
          <cell r="J86">
            <v>18350</v>
          </cell>
          <cell r="K86">
            <v>28152</v>
          </cell>
          <cell r="L86">
            <v>6021</v>
          </cell>
        </row>
        <row r="87">
          <cell r="A87" t="str">
            <v>Missouri, E.</v>
          </cell>
          <cell r="B87">
            <v>1</v>
          </cell>
          <cell r="C87">
            <v>100</v>
          </cell>
          <cell r="D87">
            <v>-99</v>
          </cell>
          <cell r="E87">
            <v>0</v>
          </cell>
          <cell r="F87">
            <v>45</v>
          </cell>
          <cell r="G87">
            <v>2724</v>
          </cell>
          <cell r="H87">
            <v>3832</v>
          </cell>
          <cell r="I87">
            <v>-1108</v>
          </cell>
          <cell r="J87">
            <v>137</v>
          </cell>
          <cell r="K87">
            <v>3061</v>
          </cell>
          <cell r="L87">
            <v>58</v>
          </cell>
        </row>
        <row r="88">
          <cell r="A88" t="str">
            <v>Missouri, W.</v>
          </cell>
          <cell r="B88">
            <v>15</v>
          </cell>
          <cell r="C88">
            <v>27</v>
          </cell>
          <cell r="D88">
            <v>-12</v>
          </cell>
          <cell r="E88">
            <v>2</v>
          </cell>
          <cell r="F88">
            <v>19</v>
          </cell>
          <cell r="G88">
            <v>419</v>
          </cell>
          <cell r="H88">
            <v>2019</v>
          </cell>
          <cell r="I88">
            <v>-1600</v>
          </cell>
          <cell r="J88">
            <v>91</v>
          </cell>
          <cell r="K88">
            <v>618</v>
          </cell>
          <cell r="L88">
            <v>50</v>
          </cell>
        </row>
        <row r="89">
          <cell r="A89" t="str">
            <v>Nebraska</v>
          </cell>
          <cell r="B89">
            <v>0</v>
          </cell>
          <cell r="C89">
            <v>5</v>
          </cell>
          <cell r="D89">
            <v>-5</v>
          </cell>
          <cell r="E89">
            <v>0</v>
          </cell>
          <cell r="F89">
            <v>1</v>
          </cell>
          <cell r="G89">
            <v>5</v>
          </cell>
          <cell r="H89">
            <v>772</v>
          </cell>
          <cell r="I89">
            <v>-767</v>
          </cell>
          <cell r="J89">
            <v>2</v>
          </cell>
          <cell r="K89">
            <v>39</v>
          </cell>
          <cell r="L89" t="str">
            <v>-</v>
          </cell>
        </row>
        <row r="90">
          <cell r="A90" t="str">
            <v>North Dakota</v>
          </cell>
          <cell r="B90">
            <v>0</v>
          </cell>
          <cell r="C90">
            <v>2</v>
          </cell>
          <cell r="D90">
            <v>-2</v>
          </cell>
          <cell r="E90">
            <v>0</v>
          </cell>
          <cell r="F90">
            <v>1</v>
          </cell>
          <cell r="G90">
            <v>0</v>
          </cell>
          <cell r="H90">
            <v>436</v>
          </cell>
          <cell r="I90">
            <v>-436</v>
          </cell>
          <cell r="J90">
            <v>0</v>
          </cell>
          <cell r="K90">
            <v>14</v>
          </cell>
          <cell r="L90">
            <v>0</v>
          </cell>
        </row>
        <row r="91">
          <cell r="A91" t="str">
            <v>South Dakota</v>
          </cell>
          <cell r="B91">
            <v>0</v>
          </cell>
          <cell r="C91">
            <v>1</v>
          </cell>
          <cell r="D91">
            <v>-1</v>
          </cell>
          <cell r="E91">
            <v>0</v>
          </cell>
          <cell r="F91">
            <v>0</v>
          </cell>
          <cell r="G91">
            <v>0</v>
          </cell>
          <cell r="H91">
            <v>534</v>
          </cell>
          <cell r="I91">
            <v>-534</v>
          </cell>
          <cell r="J91">
            <v>0</v>
          </cell>
          <cell r="K91">
            <v>356</v>
          </cell>
          <cell r="L91">
            <v>0</v>
          </cell>
        </row>
        <row r="94">
          <cell r="A94" t="str">
            <v>* No longer a separate district.</v>
          </cell>
        </row>
        <row r="96">
          <cell r="A96" t="str">
            <v>9TH</v>
          </cell>
          <cell r="B96">
            <v>670</v>
          </cell>
          <cell r="C96">
            <v>381</v>
          </cell>
          <cell r="D96">
            <v>289</v>
          </cell>
          <cell r="E96">
            <v>2333</v>
          </cell>
          <cell r="F96">
            <v>1184</v>
          </cell>
          <cell r="G96">
            <v>16157</v>
          </cell>
          <cell r="H96">
            <v>27575</v>
          </cell>
          <cell r="I96">
            <v>-11418</v>
          </cell>
          <cell r="J96">
            <v>35366</v>
          </cell>
          <cell r="K96">
            <v>32750</v>
          </cell>
          <cell r="L96">
            <v>10973</v>
          </cell>
        </row>
        <row r="97">
          <cell r="A97" t="str">
            <v>Alaska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6</v>
          </cell>
          <cell r="G97">
            <v>0</v>
          </cell>
          <cell r="H97">
            <v>324</v>
          </cell>
          <cell r="I97">
            <v>-324</v>
          </cell>
          <cell r="J97">
            <v>0</v>
          </cell>
          <cell r="K97">
            <v>35</v>
          </cell>
          <cell r="L97">
            <v>0</v>
          </cell>
        </row>
        <row r="98">
          <cell r="A98" t="str">
            <v>Arizona</v>
          </cell>
          <cell r="B98">
            <v>53</v>
          </cell>
          <cell r="C98">
            <v>17</v>
          </cell>
          <cell r="D98">
            <v>36</v>
          </cell>
          <cell r="E98">
            <v>3</v>
          </cell>
          <cell r="F98">
            <v>27</v>
          </cell>
          <cell r="G98">
            <v>609</v>
          </cell>
          <cell r="H98">
            <v>2095</v>
          </cell>
          <cell r="I98">
            <v>-1486</v>
          </cell>
          <cell r="J98">
            <v>18678</v>
          </cell>
          <cell r="K98">
            <v>9099</v>
          </cell>
          <cell r="L98">
            <v>56</v>
          </cell>
        </row>
        <row r="99">
          <cell r="A99" t="str">
            <v>California, N.</v>
          </cell>
          <cell r="B99">
            <v>557</v>
          </cell>
          <cell r="C99">
            <v>62</v>
          </cell>
          <cell r="D99">
            <v>495</v>
          </cell>
          <cell r="E99">
            <v>2291</v>
          </cell>
          <cell r="F99">
            <v>924</v>
          </cell>
          <cell r="G99">
            <v>9649</v>
          </cell>
          <cell r="H99">
            <v>5502</v>
          </cell>
          <cell r="I99">
            <v>4147</v>
          </cell>
          <cell r="J99">
            <v>11050</v>
          </cell>
          <cell r="K99">
            <v>8907</v>
          </cell>
          <cell r="L99">
            <v>10512</v>
          </cell>
        </row>
        <row r="100">
          <cell r="A100" t="str">
            <v>California, E.</v>
          </cell>
          <cell r="B100">
            <v>0</v>
          </cell>
          <cell r="C100">
            <v>30</v>
          </cell>
          <cell r="D100">
            <v>-30</v>
          </cell>
          <cell r="E100">
            <v>0</v>
          </cell>
          <cell r="F100">
            <v>18</v>
          </cell>
          <cell r="G100">
            <v>12</v>
          </cell>
          <cell r="H100">
            <v>2024</v>
          </cell>
          <cell r="I100">
            <v>-2012</v>
          </cell>
          <cell r="J100">
            <v>119</v>
          </cell>
          <cell r="K100">
            <v>620</v>
          </cell>
          <cell r="L100">
            <v>0</v>
          </cell>
        </row>
        <row r="101">
          <cell r="A101" t="str">
            <v>California, C.</v>
          </cell>
          <cell r="B101">
            <v>57</v>
          </cell>
          <cell r="C101">
            <v>164</v>
          </cell>
          <cell r="D101">
            <v>-107</v>
          </cell>
          <cell r="E101">
            <v>37</v>
          </cell>
          <cell r="F101">
            <v>84</v>
          </cell>
          <cell r="G101">
            <v>2454</v>
          </cell>
          <cell r="H101">
            <v>8397</v>
          </cell>
          <cell r="I101">
            <v>-5943</v>
          </cell>
          <cell r="J101">
            <v>2164</v>
          </cell>
          <cell r="K101">
            <v>7740</v>
          </cell>
          <cell r="L101">
            <v>310</v>
          </cell>
        </row>
        <row r="102">
          <cell r="A102" t="str">
            <v>California, S.</v>
          </cell>
          <cell r="B102">
            <v>3</v>
          </cell>
          <cell r="C102">
            <v>12</v>
          </cell>
          <cell r="D102">
            <v>-9</v>
          </cell>
          <cell r="E102">
            <v>2</v>
          </cell>
          <cell r="F102">
            <v>60</v>
          </cell>
          <cell r="G102">
            <v>975</v>
          </cell>
          <cell r="H102">
            <v>2865</v>
          </cell>
          <cell r="I102">
            <v>-1890</v>
          </cell>
          <cell r="J102">
            <v>1274</v>
          </cell>
          <cell r="K102">
            <v>1511</v>
          </cell>
          <cell r="L102">
            <v>95</v>
          </cell>
        </row>
        <row r="103">
          <cell r="A103" t="str">
            <v>Hawaii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14</v>
          </cell>
          <cell r="H103">
            <v>652</v>
          </cell>
          <cell r="I103">
            <v>-638</v>
          </cell>
          <cell r="J103">
            <v>11</v>
          </cell>
          <cell r="K103">
            <v>31</v>
          </cell>
          <cell r="L103">
            <v>0</v>
          </cell>
        </row>
        <row r="104">
          <cell r="A104" t="str">
            <v>Idaho</v>
          </cell>
          <cell r="B104">
            <v>0</v>
          </cell>
          <cell r="C104">
            <v>5</v>
          </cell>
          <cell r="D104">
            <v>-5</v>
          </cell>
          <cell r="E104">
            <v>0</v>
          </cell>
          <cell r="F104">
            <v>6</v>
          </cell>
          <cell r="G104">
            <v>13</v>
          </cell>
          <cell r="H104">
            <v>570</v>
          </cell>
          <cell r="I104">
            <v>-557</v>
          </cell>
          <cell r="J104">
            <v>8</v>
          </cell>
          <cell r="K104">
            <v>41</v>
          </cell>
          <cell r="L104">
            <v>0</v>
          </cell>
        </row>
        <row r="105">
          <cell r="A105" t="str">
            <v>Montana</v>
          </cell>
          <cell r="B105">
            <v>0</v>
          </cell>
          <cell r="C105">
            <v>6</v>
          </cell>
          <cell r="D105">
            <v>-6</v>
          </cell>
          <cell r="E105">
            <v>0</v>
          </cell>
          <cell r="F105">
            <v>3</v>
          </cell>
          <cell r="G105">
            <v>4</v>
          </cell>
          <cell r="H105">
            <v>479</v>
          </cell>
          <cell r="I105">
            <v>-475</v>
          </cell>
          <cell r="J105">
            <v>5</v>
          </cell>
          <cell r="K105">
            <v>39</v>
          </cell>
          <cell r="L105">
            <v>0</v>
          </cell>
        </row>
        <row r="106">
          <cell r="A106" t="str">
            <v>Nevada</v>
          </cell>
          <cell r="B106">
            <v>0</v>
          </cell>
          <cell r="C106">
            <v>13</v>
          </cell>
          <cell r="D106">
            <v>-13</v>
          </cell>
          <cell r="E106">
            <v>0</v>
          </cell>
          <cell r="F106">
            <v>11</v>
          </cell>
          <cell r="G106">
            <v>219</v>
          </cell>
          <cell r="H106">
            <v>1294</v>
          </cell>
          <cell r="I106">
            <v>-1075</v>
          </cell>
          <cell r="J106">
            <v>369</v>
          </cell>
          <cell r="K106">
            <v>637</v>
          </cell>
          <cell r="L106">
            <v>0</v>
          </cell>
        </row>
        <row r="107">
          <cell r="A107" t="str">
            <v>Oregon</v>
          </cell>
          <cell r="B107">
            <v>0</v>
          </cell>
          <cell r="C107">
            <v>26</v>
          </cell>
          <cell r="D107">
            <v>-26</v>
          </cell>
          <cell r="E107">
            <v>0</v>
          </cell>
          <cell r="F107">
            <v>8</v>
          </cell>
          <cell r="G107">
            <v>57</v>
          </cell>
          <cell r="H107">
            <v>1324</v>
          </cell>
          <cell r="I107">
            <v>-1267</v>
          </cell>
          <cell r="J107">
            <v>39</v>
          </cell>
          <cell r="K107">
            <v>136</v>
          </cell>
          <cell r="L107">
            <v>0</v>
          </cell>
        </row>
        <row r="108">
          <cell r="A108" t="str">
            <v>Washington, E.</v>
          </cell>
          <cell r="B108">
            <v>0</v>
          </cell>
          <cell r="C108">
            <v>5</v>
          </cell>
          <cell r="D108">
            <v>-5</v>
          </cell>
          <cell r="E108">
            <v>0</v>
          </cell>
          <cell r="F108">
            <v>1</v>
          </cell>
          <cell r="G108">
            <v>4</v>
          </cell>
          <cell r="H108">
            <v>412</v>
          </cell>
          <cell r="I108">
            <v>-408</v>
          </cell>
          <cell r="J108">
            <v>3</v>
          </cell>
          <cell r="K108">
            <v>17</v>
          </cell>
          <cell r="L108">
            <v>0</v>
          </cell>
        </row>
        <row r="109">
          <cell r="A109" t="str">
            <v>Washington, W</v>
          </cell>
          <cell r="B109">
            <v>0</v>
          </cell>
          <cell r="C109">
            <v>41</v>
          </cell>
          <cell r="D109">
            <v>-41</v>
          </cell>
          <cell r="E109">
            <v>0</v>
          </cell>
          <cell r="F109">
            <v>34</v>
          </cell>
          <cell r="G109">
            <v>2147</v>
          </cell>
          <cell r="H109">
            <v>1593</v>
          </cell>
          <cell r="I109">
            <v>554</v>
          </cell>
          <cell r="J109">
            <v>1646</v>
          </cell>
          <cell r="K109">
            <v>3937</v>
          </cell>
          <cell r="L109">
            <v>0</v>
          </cell>
        </row>
        <row r="110">
          <cell r="A110" t="str">
            <v>Guam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40</v>
          </cell>
          <cell r="I110">
            <v>-40</v>
          </cell>
          <cell r="J110">
            <v>0</v>
          </cell>
          <cell r="K110">
            <v>0</v>
          </cell>
          <cell r="L110">
            <v>0</v>
          </cell>
        </row>
        <row r="111">
          <cell r="A111" t="str">
            <v>Northern Mariana Islands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4</v>
          </cell>
          <cell r="I111">
            <v>-4</v>
          </cell>
          <cell r="J111">
            <v>0</v>
          </cell>
          <cell r="K111">
            <v>0</v>
          </cell>
          <cell r="L111">
            <v>0</v>
          </cell>
        </row>
        <row r="113">
          <cell r="A113" t="str">
            <v>10TH</v>
          </cell>
          <cell r="B113">
            <v>0</v>
          </cell>
          <cell r="C113">
            <v>60</v>
          </cell>
          <cell r="D113">
            <v>-60</v>
          </cell>
          <cell r="E113">
            <v>0</v>
          </cell>
          <cell r="F113">
            <v>64</v>
          </cell>
          <cell r="G113">
            <v>4525</v>
          </cell>
          <cell r="H113">
            <v>8558</v>
          </cell>
          <cell r="I113">
            <v>-4033</v>
          </cell>
          <cell r="J113">
            <v>443</v>
          </cell>
          <cell r="K113">
            <v>4413</v>
          </cell>
          <cell r="L113">
            <v>40</v>
          </cell>
        </row>
        <row r="114">
          <cell r="A114" t="str">
            <v>Colorado</v>
          </cell>
          <cell r="B114">
            <v>0</v>
          </cell>
          <cell r="C114">
            <v>26</v>
          </cell>
          <cell r="D114">
            <v>-26</v>
          </cell>
          <cell r="E114">
            <v>0</v>
          </cell>
          <cell r="F114">
            <v>19</v>
          </cell>
          <cell r="G114">
            <v>141</v>
          </cell>
          <cell r="H114">
            <v>1793</v>
          </cell>
          <cell r="I114">
            <v>-1652</v>
          </cell>
          <cell r="J114">
            <v>115</v>
          </cell>
          <cell r="K114">
            <v>364</v>
          </cell>
          <cell r="L114">
            <v>0</v>
          </cell>
        </row>
        <row r="115">
          <cell r="A115" t="str">
            <v>Kansas</v>
          </cell>
          <cell r="B115">
            <v>0</v>
          </cell>
          <cell r="C115">
            <v>7</v>
          </cell>
          <cell r="D115">
            <v>-7</v>
          </cell>
          <cell r="E115">
            <v>0</v>
          </cell>
          <cell r="F115">
            <v>11</v>
          </cell>
          <cell r="G115">
            <v>3869</v>
          </cell>
          <cell r="H115">
            <v>1228</v>
          </cell>
          <cell r="I115">
            <v>2641</v>
          </cell>
          <cell r="J115">
            <v>168</v>
          </cell>
          <cell r="K115">
            <v>3242</v>
          </cell>
          <cell r="L115">
            <v>1</v>
          </cell>
        </row>
        <row r="116">
          <cell r="A116" t="str">
            <v>New Mexico</v>
          </cell>
          <cell r="B116">
            <v>0</v>
          </cell>
          <cell r="C116">
            <v>11</v>
          </cell>
          <cell r="D116">
            <v>-11</v>
          </cell>
          <cell r="E116">
            <v>0</v>
          </cell>
          <cell r="F116">
            <v>6</v>
          </cell>
          <cell r="G116">
            <v>19</v>
          </cell>
          <cell r="H116">
            <v>1111</v>
          </cell>
          <cell r="I116">
            <v>-1092</v>
          </cell>
          <cell r="J116">
            <v>18</v>
          </cell>
          <cell r="K116">
            <v>58</v>
          </cell>
          <cell r="L116">
            <v>19</v>
          </cell>
        </row>
        <row r="117">
          <cell r="A117" t="str">
            <v>Oklahoma, N.</v>
          </cell>
          <cell r="B117">
            <v>0</v>
          </cell>
          <cell r="C117">
            <v>1</v>
          </cell>
          <cell r="D117">
            <v>-1</v>
          </cell>
          <cell r="E117">
            <v>0</v>
          </cell>
          <cell r="F117">
            <v>7</v>
          </cell>
          <cell r="G117">
            <v>32</v>
          </cell>
          <cell r="H117">
            <v>1132</v>
          </cell>
          <cell r="I117">
            <v>-1100</v>
          </cell>
          <cell r="J117">
            <v>37</v>
          </cell>
          <cell r="K117">
            <v>84</v>
          </cell>
          <cell r="L117">
            <v>15</v>
          </cell>
        </row>
        <row r="118">
          <cell r="A118" t="str">
            <v>Oklahoma, E.</v>
          </cell>
          <cell r="B118">
            <v>0</v>
          </cell>
          <cell r="C118">
            <v>1</v>
          </cell>
          <cell r="D118">
            <v>-1</v>
          </cell>
          <cell r="E118">
            <v>0</v>
          </cell>
          <cell r="F118">
            <v>3</v>
          </cell>
          <cell r="G118">
            <v>11</v>
          </cell>
          <cell r="H118">
            <v>311</v>
          </cell>
          <cell r="I118">
            <v>-300</v>
          </cell>
          <cell r="J118">
            <v>18</v>
          </cell>
          <cell r="K118">
            <v>36</v>
          </cell>
          <cell r="L118">
            <v>5</v>
          </cell>
        </row>
        <row r="119">
          <cell r="A119" t="str">
            <v>Oklahoma, W.</v>
          </cell>
          <cell r="B119">
            <v>0</v>
          </cell>
          <cell r="C119">
            <v>5</v>
          </cell>
          <cell r="D119">
            <v>-5</v>
          </cell>
          <cell r="E119">
            <v>0</v>
          </cell>
          <cell r="F119">
            <v>5</v>
          </cell>
          <cell r="G119">
            <v>234</v>
          </cell>
          <cell r="H119">
            <v>1315</v>
          </cell>
          <cell r="I119">
            <v>-1081</v>
          </cell>
          <cell r="J119">
            <v>55</v>
          </cell>
          <cell r="K119">
            <v>311</v>
          </cell>
          <cell r="L119">
            <v>0</v>
          </cell>
        </row>
        <row r="120">
          <cell r="A120" t="str">
            <v>Utah</v>
          </cell>
          <cell r="B120">
            <v>0</v>
          </cell>
          <cell r="C120">
            <v>7</v>
          </cell>
          <cell r="D120">
            <v>-7</v>
          </cell>
          <cell r="E120">
            <v>0</v>
          </cell>
          <cell r="F120">
            <v>13</v>
          </cell>
          <cell r="G120">
            <v>35</v>
          </cell>
          <cell r="H120">
            <v>1495</v>
          </cell>
          <cell r="I120">
            <v>-1460</v>
          </cell>
          <cell r="J120">
            <v>15</v>
          </cell>
          <cell r="K120">
            <v>115</v>
          </cell>
          <cell r="L120">
            <v>0</v>
          </cell>
        </row>
        <row r="121">
          <cell r="A121" t="str">
            <v>Wyoming</v>
          </cell>
          <cell r="B121">
            <v>0</v>
          </cell>
          <cell r="C121">
            <v>2</v>
          </cell>
          <cell r="D121">
            <v>-2</v>
          </cell>
          <cell r="E121">
            <v>0</v>
          </cell>
          <cell r="F121">
            <v>0</v>
          </cell>
          <cell r="G121">
            <v>184</v>
          </cell>
          <cell r="H121">
            <v>173</v>
          </cell>
          <cell r="I121">
            <v>11</v>
          </cell>
          <cell r="J121">
            <v>17</v>
          </cell>
          <cell r="K121">
            <v>203</v>
          </cell>
          <cell r="L121">
            <v>0</v>
          </cell>
        </row>
        <row r="123">
          <cell r="A123" t="str">
            <v>11TH</v>
          </cell>
          <cell r="B123">
            <v>348</v>
          </cell>
          <cell r="C123">
            <v>200</v>
          </cell>
          <cell r="D123">
            <v>148</v>
          </cell>
          <cell r="E123">
            <v>45156</v>
          </cell>
          <cell r="F123">
            <v>38683</v>
          </cell>
          <cell r="G123">
            <v>35306</v>
          </cell>
          <cell r="H123">
            <v>21313</v>
          </cell>
          <cell r="I123">
            <v>13993</v>
          </cell>
          <cell r="J123">
            <v>381306</v>
          </cell>
          <cell r="K123">
            <v>153083</v>
          </cell>
          <cell r="L123">
            <v>260281</v>
          </cell>
        </row>
        <row r="124">
          <cell r="A124" t="str">
            <v>Alabama, N.</v>
          </cell>
          <cell r="B124">
            <v>1</v>
          </cell>
          <cell r="C124">
            <v>52</v>
          </cell>
          <cell r="D124">
            <v>-51</v>
          </cell>
          <cell r="E124">
            <v>0</v>
          </cell>
          <cell r="F124">
            <v>16</v>
          </cell>
          <cell r="G124">
            <v>26724</v>
          </cell>
          <cell r="H124">
            <v>3184</v>
          </cell>
          <cell r="I124">
            <v>23540</v>
          </cell>
          <cell r="J124">
            <v>3915</v>
          </cell>
          <cell r="K124">
            <v>30793</v>
          </cell>
          <cell r="L124">
            <v>23</v>
          </cell>
        </row>
        <row r="125">
          <cell r="A125" t="str">
            <v>Alabama, M.</v>
          </cell>
          <cell r="B125">
            <v>0</v>
          </cell>
          <cell r="C125">
            <v>3</v>
          </cell>
          <cell r="D125">
            <v>-3</v>
          </cell>
          <cell r="E125">
            <v>0</v>
          </cell>
          <cell r="F125">
            <v>5</v>
          </cell>
          <cell r="G125">
            <v>19</v>
          </cell>
          <cell r="H125">
            <v>874</v>
          </cell>
          <cell r="I125">
            <v>-855</v>
          </cell>
          <cell r="J125">
            <v>7</v>
          </cell>
          <cell r="K125">
            <v>104</v>
          </cell>
          <cell r="L125">
            <v>0</v>
          </cell>
        </row>
        <row r="126">
          <cell r="A126" t="str">
            <v>Alabama, S.</v>
          </cell>
          <cell r="B126">
            <v>0</v>
          </cell>
          <cell r="C126">
            <v>8</v>
          </cell>
          <cell r="D126">
            <v>-8</v>
          </cell>
          <cell r="E126">
            <v>0</v>
          </cell>
          <cell r="F126">
            <v>7</v>
          </cell>
          <cell r="G126">
            <v>25</v>
          </cell>
          <cell r="H126">
            <v>865</v>
          </cell>
          <cell r="I126">
            <v>-840</v>
          </cell>
          <cell r="J126">
            <v>106</v>
          </cell>
          <cell r="K126">
            <v>240</v>
          </cell>
          <cell r="L126">
            <v>0</v>
          </cell>
        </row>
        <row r="127">
          <cell r="A127" t="str">
            <v>Florida, N.</v>
          </cell>
          <cell r="B127">
            <v>251</v>
          </cell>
          <cell r="C127">
            <v>10</v>
          </cell>
          <cell r="D127">
            <v>241</v>
          </cell>
          <cell r="E127">
            <v>31478</v>
          </cell>
          <cell r="F127">
            <v>34848</v>
          </cell>
          <cell r="G127">
            <v>2681</v>
          </cell>
          <cell r="H127">
            <v>1134</v>
          </cell>
          <cell r="I127">
            <v>1547</v>
          </cell>
          <cell r="J127">
            <v>345377</v>
          </cell>
          <cell r="K127">
            <v>102312</v>
          </cell>
          <cell r="L127">
            <v>242833</v>
          </cell>
        </row>
        <row r="128">
          <cell r="A128" t="str">
            <v>Florida, M.</v>
          </cell>
          <cell r="B128">
            <v>10</v>
          </cell>
          <cell r="C128">
            <v>60</v>
          </cell>
          <cell r="D128">
            <v>-50</v>
          </cell>
          <cell r="E128">
            <v>3</v>
          </cell>
          <cell r="F128">
            <v>110</v>
          </cell>
          <cell r="G128">
            <v>1576</v>
          </cell>
          <cell r="H128">
            <v>5362</v>
          </cell>
          <cell r="I128">
            <v>-3786</v>
          </cell>
          <cell r="J128">
            <v>7799</v>
          </cell>
          <cell r="K128">
            <v>9466</v>
          </cell>
          <cell r="L128">
            <v>45</v>
          </cell>
        </row>
        <row r="129">
          <cell r="A129" t="str">
            <v>Florida, S.</v>
          </cell>
          <cell r="B129">
            <v>48</v>
          </cell>
          <cell r="C129">
            <v>36</v>
          </cell>
          <cell r="D129">
            <v>12</v>
          </cell>
          <cell r="E129">
            <v>12745</v>
          </cell>
          <cell r="F129">
            <v>422</v>
          </cell>
          <cell r="G129">
            <v>1908</v>
          </cell>
          <cell r="H129">
            <v>4216</v>
          </cell>
          <cell r="I129">
            <v>-2308</v>
          </cell>
          <cell r="J129">
            <v>16789</v>
          </cell>
          <cell r="K129">
            <v>4043</v>
          </cell>
          <cell r="L129">
            <v>14721</v>
          </cell>
        </row>
        <row r="130">
          <cell r="A130" t="str">
            <v>Georgia, N.</v>
          </cell>
          <cell r="B130">
            <v>38</v>
          </cell>
          <cell r="C130">
            <v>21</v>
          </cell>
          <cell r="D130">
            <v>17</v>
          </cell>
          <cell r="E130">
            <v>930</v>
          </cell>
          <cell r="F130">
            <v>3258</v>
          </cell>
          <cell r="G130">
            <v>1952</v>
          </cell>
          <cell r="H130">
            <v>3024</v>
          </cell>
          <cell r="I130">
            <v>-1072</v>
          </cell>
          <cell r="J130">
            <v>6797</v>
          </cell>
          <cell r="K130">
            <v>5168</v>
          </cell>
          <cell r="L130">
            <v>2659</v>
          </cell>
        </row>
        <row r="131">
          <cell r="A131" t="str">
            <v>Georgia, M.</v>
          </cell>
          <cell r="B131">
            <v>0</v>
          </cell>
          <cell r="C131">
            <v>5</v>
          </cell>
          <cell r="D131">
            <v>-5</v>
          </cell>
          <cell r="E131">
            <v>0</v>
          </cell>
          <cell r="F131">
            <v>10</v>
          </cell>
          <cell r="G131">
            <v>418</v>
          </cell>
          <cell r="H131">
            <v>839</v>
          </cell>
          <cell r="I131">
            <v>-421</v>
          </cell>
          <cell r="J131">
            <v>513</v>
          </cell>
          <cell r="K131">
            <v>934</v>
          </cell>
          <cell r="L131">
            <v>0</v>
          </cell>
        </row>
        <row r="132">
          <cell r="A132" t="str">
            <v>Georgia, S.</v>
          </cell>
          <cell r="B132">
            <v>0</v>
          </cell>
          <cell r="C132">
            <v>5</v>
          </cell>
          <cell r="D132">
            <v>-5</v>
          </cell>
          <cell r="E132">
            <v>0</v>
          </cell>
          <cell r="F132">
            <v>7</v>
          </cell>
          <cell r="G132">
            <v>3</v>
          </cell>
          <cell r="H132">
            <v>1815</v>
          </cell>
          <cell r="I132">
            <v>-1812</v>
          </cell>
          <cell r="J132">
            <v>3</v>
          </cell>
          <cell r="K132">
            <v>23</v>
          </cell>
          <cell r="L132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AD5E-72EA-435C-BF88-ADAEF60C7A1F}">
  <sheetPr>
    <pageSetUpPr fitToPage="1"/>
  </sheetPr>
  <dimension ref="A1:K127"/>
  <sheetViews>
    <sheetView showGridLines="0" tabSelected="1" zoomScaleNormal="100" zoomScaleSheetLayoutView="85" workbookViewId="0">
      <selection activeCell="F3" sqref="F3"/>
    </sheetView>
  </sheetViews>
  <sheetFormatPr defaultColWidth="9.109375" defaultRowHeight="10.199999999999999" x14ac:dyDescent="0.2"/>
  <cols>
    <col min="1" max="1" width="12" style="1" customWidth="1"/>
    <col min="2" max="2" width="15.6640625" style="1" customWidth="1"/>
    <col min="3" max="3" width="3.6640625" style="1" customWidth="1"/>
    <col min="4" max="4" width="15.6640625" style="1" customWidth="1"/>
    <col min="5" max="5" width="3.6640625" style="1" customWidth="1"/>
    <col min="6" max="6" width="15.6640625" style="1" customWidth="1"/>
    <col min="7" max="7" width="3.6640625" style="1" customWidth="1"/>
    <col min="8" max="8" width="15.6640625" style="1" customWidth="1"/>
    <col min="9" max="9" width="3.6640625" style="1" customWidth="1"/>
    <col min="10" max="10" width="15.6640625" style="1" customWidth="1"/>
    <col min="11" max="11" width="3.6640625" style="1" customWidth="1"/>
    <col min="12" max="16384" width="9.109375" style="1"/>
  </cols>
  <sheetData>
    <row r="1" spans="1:11" ht="13.5" customHeight="1" x14ac:dyDescent="0.2"/>
    <row r="2" spans="1:11" ht="13.5" customHeight="1" x14ac:dyDescent="0.25">
      <c r="A2" s="2" t="s">
        <v>0</v>
      </c>
    </row>
    <row r="3" spans="1:11" ht="13.5" customHeight="1" x14ac:dyDescent="0.25">
      <c r="A3" s="2" t="s">
        <v>1</v>
      </c>
    </row>
    <row r="4" spans="1:11" ht="13.5" customHeight="1" x14ac:dyDescent="0.25">
      <c r="A4" s="2" t="str">
        <f>"Cumulative From September 1968 Through September 30, "&amp;RIGHT('[1]Raw Data - S-19'!$G$1,4)</f>
        <v>Cumulative From September 1968 Through September 30, 2023</v>
      </c>
    </row>
    <row r="5" spans="1:11" ht="13.5" customHeight="1" x14ac:dyDescent="0.2"/>
    <row r="6" spans="1:11" ht="18" customHeight="1" x14ac:dyDescent="0.2">
      <c r="A6" s="3" t="s">
        <v>2</v>
      </c>
      <c r="B6" s="4" t="str">
        <f>"12 Months Ending September 30, "&amp;RIGHT('[1]Raw Data - S-19'!$G$1,4)</f>
        <v>12 Months Ending September 30, 2023</v>
      </c>
      <c r="C6" s="4"/>
      <c r="D6" s="4"/>
      <c r="E6" s="4"/>
      <c r="F6" s="5" t="str">
        <f>"Cumulative 1968 - "&amp;RIGHT('[1]Raw Data - S-19'!$G$1,4)</f>
        <v>Cumulative 1968 - 2023</v>
      </c>
      <c r="G6" s="4"/>
      <c r="H6" s="4"/>
      <c r="I6" s="4"/>
      <c r="J6" s="6" t="s">
        <v>3</v>
      </c>
      <c r="K6" s="3"/>
    </row>
    <row r="7" spans="1:11" ht="18" customHeight="1" x14ac:dyDescent="0.2">
      <c r="A7" s="7"/>
      <c r="B7" s="8" t="s">
        <v>4</v>
      </c>
      <c r="C7" s="9"/>
      <c r="D7" s="8" t="s">
        <v>5</v>
      </c>
      <c r="E7" s="10"/>
      <c r="F7" s="8" t="s">
        <v>4</v>
      </c>
      <c r="G7" s="9"/>
      <c r="H7" s="8" t="s">
        <v>5</v>
      </c>
      <c r="I7" s="10"/>
      <c r="J7" s="11"/>
      <c r="K7" s="7"/>
    </row>
    <row r="8" spans="1:11" ht="13.5" customHeight="1" x14ac:dyDescent="0.2">
      <c r="A8" s="12" t="s">
        <v>6</v>
      </c>
      <c r="B8" s="13">
        <f>IF(VLOOKUP("TOTAL",'[1]Raw Data - S-19'!$A$9:$L$135,2,FALSE)-SUM(B9,B10,B16,B23,B30,B45,B55,B65,B74,B90,B106,B115)=0,VLOOKUP("TOTAL",'[1]Raw Data - S-19'!$A$9:$L$135,2,FALSE),"ERROR")</f>
        <v>2334</v>
      </c>
      <c r="C8" s="13"/>
      <c r="D8" s="13">
        <f>IF(VLOOKUP("TOTAL",'[1]Raw Data - S-19'!$A$9:$L$135,3,FALSE)-SUM(D9,D10,D16,D23,D30,D45,D55,D65,D74,D90,D106,D115)=0,VLOOKUP("TOTAL",'[1]Raw Data - S-19'!$A$9:$L$135,3,FALSE),"ERROR")</f>
        <v>2334</v>
      </c>
      <c r="E8" s="13"/>
      <c r="F8" s="13">
        <f>IF(VLOOKUP("TOTAL",'[1]Raw Data - S-19'!$A$9:$L$135,7,FALSE)-SUM(F9,F10,F16,F23,F30,F45,F55,F65,F74,F90,F106,F115)=0,VLOOKUP("TOTAL",'[1]Raw Data - S-19'!$A$9:$L$135,7,FALSE),"ERROR")</f>
        <v>286251</v>
      </c>
      <c r="G8" s="13"/>
      <c r="H8" s="13">
        <f>IF(VLOOKUP("TOTAL",'[1]Raw Data - S-19'!$A$9:$L$135,8,FALSE)-SUM(H9,H10,H16,H23,H30,H45,H55,H65,H74,H90,H106,H115)=0,VLOOKUP("TOTAL",'[1]Raw Data - S-19'!$A$9:$L$135,8,FALSE),"ERROR")</f>
        <v>286251</v>
      </c>
      <c r="I8" s="13"/>
      <c r="J8" s="13">
        <f>IF(VLOOKUP("TOTAL",'[1]Raw Data - S-19'!$A$9:$L$135,12,FALSE)-SUM(J9,J10,J16,J23,J30,J45,J55,J65,J74,J90,J106,J115)=0,VLOOKUP("TOTAL",'[1]Raw Data - S-19'!$A$9:$L$135,12,FALSE),"ERROR")</f>
        <v>417137</v>
      </c>
      <c r="K8" s="13"/>
    </row>
    <row r="9" spans="1:11" ht="17.25" customHeight="1" x14ac:dyDescent="0.2">
      <c r="A9" s="1" t="s">
        <v>7</v>
      </c>
      <c r="B9" s="14">
        <f>VLOOKUP("District of Columbia",'[1]Raw Data - S-19'!$A$9:$L$135,2,FALSE)</f>
        <v>0</v>
      </c>
      <c r="C9" s="14"/>
      <c r="D9" s="14">
        <f>VLOOKUP("District of Columbia",'[1]Raw Data - S-19'!$A$9:$L$135,3,FALSE)</f>
        <v>9</v>
      </c>
      <c r="E9" s="14"/>
      <c r="F9" s="14">
        <f>VLOOKUP("District of Columbia",'[1]Raw Data - S-19'!$A$9:$L$135,7,FALSE)</f>
        <v>2449</v>
      </c>
      <c r="G9" s="14"/>
      <c r="H9" s="14">
        <f>VLOOKUP("District of Columbia",'[1]Raw Data - S-19'!$A$9:$L$135,8,FALSE)</f>
        <v>2607</v>
      </c>
      <c r="I9" s="14"/>
      <c r="J9" s="14">
        <f>VLOOKUP("District of Columbia",'[1]Raw Data - S-19'!$A$9:$L$135,12,FALSE)</f>
        <v>223</v>
      </c>
      <c r="K9" s="14"/>
    </row>
    <row r="10" spans="1:11" ht="16.5" customHeight="1" x14ac:dyDescent="0.2">
      <c r="A10" s="12" t="s">
        <v>8</v>
      </c>
      <c r="B10" s="13">
        <f>IF(VLOOKUP("1ST",'[1]Raw Data - S-19'!$A$9:$L$135,2,FALSE)-SUM(B11:B15)=0,VLOOKUP("1ST",'[1]Raw Data - S-19'!$A$9:$L$135,2,FALSE),"ERROR")</f>
        <v>18</v>
      </c>
      <c r="C10" s="13"/>
      <c r="D10" s="13">
        <f>IF(VLOOKUP("1ST",'[1]Raw Data - S-19'!$A$9:$L$135,3,FALSE)-SUM(D11:D15)=0,VLOOKUP("1ST",'[1]Raw Data - S-19'!$A$9:$L$135,3,FALSE),"ERROR")</f>
        <v>88</v>
      </c>
      <c r="E10" s="13"/>
      <c r="F10" s="13">
        <f>IF(VLOOKUP("1ST",'[1]Raw Data - S-19'!$A$9:$L$135,7,FALSE)-SUM(F11:F15)=0,VLOOKUP("1ST",'[1]Raw Data - S-19'!$A$9:$L$135,7,FALSE),"ERROR")</f>
        <v>4628</v>
      </c>
      <c r="G10" s="13"/>
      <c r="H10" s="13">
        <f>IF(VLOOKUP("1ST",'[1]Raw Data - S-19'!$A$9:$L$135,8,FALSE)-SUM(H11:H15)=0,VLOOKUP("1ST",'[1]Raw Data - S-19'!$A$9:$L$135,8,FALSE),"ERROR")</f>
        <v>7633</v>
      </c>
      <c r="I10" s="13"/>
      <c r="J10" s="13">
        <f>IF(VLOOKUP("1ST",'[1]Raw Data - S-19'!$A$9:$L$135,12,FALSE)-SUM(J11:J15)=0,VLOOKUP("1ST",'[1]Raw Data - S-19'!$A$9:$L$135,12,FALSE),"ERROR")</f>
        <v>4280</v>
      </c>
      <c r="K10" s="13"/>
    </row>
    <row r="11" spans="1:11" ht="13.5" customHeight="1" x14ac:dyDescent="0.2">
      <c r="A11" s="1" t="s">
        <v>9</v>
      </c>
      <c r="B11" s="14">
        <f>VLOOKUP("Maine",'[1]Raw Data - S-19'!$A$9:$L$135,2,FALSE)</f>
        <v>0</v>
      </c>
      <c r="C11" s="14"/>
      <c r="D11" s="14">
        <f>VLOOKUP("Maine",'[1]Raw Data - S-19'!$A$9:$L$135,3,FALSE)</f>
        <v>24</v>
      </c>
      <c r="E11" s="14"/>
      <c r="F11" s="14">
        <f>VLOOKUP("Maine",'[1]Raw Data - S-19'!$A$9:$L$135,7,FALSE)</f>
        <v>132</v>
      </c>
      <c r="G11" s="14"/>
      <c r="H11" s="14">
        <f>VLOOKUP("Maine",'[1]Raw Data - S-19'!$A$9:$L$135,8,FALSE)</f>
        <v>949</v>
      </c>
      <c r="I11" s="14"/>
      <c r="J11" s="14">
        <f>VLOOKUP("Maine",'[1]Raw Data - S-19'!$A$9:$L$135,12,FALSE)</f>
        <v>0</v>
      </c>
      <c r="K11" s="14"/>
    </row>
    <row r="12" spans="1:11" ht="13.5" customHeight="1" x14ac:dyDescent="0.2">
      <c r="A12" s="1" t="s">
        <v>10</v>
      </c>
      <c r="B12" s="14">
        <f>VLOOKUP("Massachusetts",'[1]Raw Data - S-19'!$A$9:$L$135,2,FALSE)</f>
        <v>18</v>
      </c>
      <c r="C12" s="14"/>
      <c r="D12" s="14">
        <f>VLOOKUP("Massachusetts",'[1]Raw Data - S-19'!$A$9:$L$135,3,FALSE)</f>
        <v>55</v>
      </c>
      <c r="E12" s="14"/>
      <c r="F12" s="14">
        <f>VLOOKUP("Massachusetts",'[1]Raw Data - S-19'!$A$9:$L$135,7,FALSE)</f>
        <v>2203</v>
      </c>
      <c r="G12" s="14"/>
      <c r="H12" s="14">
        <f>VLOOKUP("Massachusetts",'[1]Raw Data - S-19'!$A$9:$L$135,8,FALSE)</f>
        <v>5074</v>
      </c>
      <c r="I12" s="14"/>
      <c r="J12" s="14">
        <f>VLOOKUP("Massachusetts",'[1]Raw Data - S-19'!$A$9:$L$135,12,FALSE)</f>
        <v>924</v>
      </c>
      <c r="K12" s="14"/>
    </row>
    <row r="13" spans="1:11" ht="13.5" customHeight="1" x14ac:dyDescent="0.2">
      <c r="A13" s="1" t="s">
        <v>11</v>
      </c>
      <c r="B13" s="14">
        <f>VLOOKUP("New Hampshire",'[1]Raw Data - S-19'!$A$9:$L$135,2,FALSE)</f>
        <v>0</v>
      </c>
      <c r="C13" s="14"/>
      <c r="D13" s="14">
        <f>VLOOKUP("New Hampshire",'[1]Raw Data - S-19'!$A$9:$L$135,3,FALSE)</f>
        <v>1</v>
      </c>
      <c r="E13" s="14"/>
      <c r="F13" s="14">
        <f>VLOOKUP("New Hampshire",'[1]Raw Data - S-19'!$A$9:$L$135,7,FALSE)</f>
        <v>191</v>
      </c>
      <c r="G13" s="14"/>
      <c r="H13" s="14">
        <f>VLOOKUP("New Hampshire",'[1]Raw Data - S-19'!$A$9:$L$135,8,FALSE)</f>
        <v>505</v>
      </c>
      <c r="I13" s="14"/>
      <c r="J13" s="14">
        <f>VLOOKUP("New Hampshire",'[1]Raw Data - S-19'!$A$9:$L$135,12,FALSE)</f>
        <v>3356</v>
      </c>
      <c r="K13" s="14"/>
    </row>
    <row r="14" spans="1:11" ht="13.5" customHeight="1" x14ac:dyDescent="0.2">
      <c r="A14" s="1" t="s">
        <v>12</v>
      </c>
      <c r="B14" s="14">
        <f>VLOOKUP("Rhode Island",'[1]Raw Data - S-19'!$A$9:$L$135,2,FALSE)</f>
        <v>0</v>
      </c>
      <c r="C14" s="14"/>
      <c r="D14" s="14">
        <f>VLOOKUP("Rhode Island",'[1]Raw Data - S-19'!$A$9:$L$135,3,FALSE)</f>
        <v>6</v>
      </c>
      <c r="E14" s="14"/>
      <c r="F14" s="14">
        <f>VLOOKUP("Rhode Island",'[1]Raw Data - S-19'!$A$9:$L$135,7,FALSE)</f>
        <v>2032</v>
      </c>
      <c r="G14" s="14"/>
      <c r="H14" s="14">
        <f>VLOOKUP("Rhode Island",'[1]Raw Data - S-19'!$A$9:$L$135,8,FALSE)</f>
        <v>733</v>
      </c>
      <c r="I14" s="14"/>
      <c r="J14" s="14">
        <f>VLOOKUP("Rhode Island",'[1]Raw Data - S-19'!$A$9:$L$135,12,FALSE)</f>
        <v>0</v>
      </c>
      <c r="K14" s="14"/>
    </row>
    <row r="15" spans="1:11" ht="13.5" customHeight="1" x14ac:dyDescent="0.2">
      <c r="A15" s="1" t="s">
        <v>13</v>
      </c>
      <c r="B15" s="14">
        <f>VLOOKUP("Puerto Rico",'[1]Raw Data - S-19'!$A$9:$L$135,2,FALSE)</f>
        <v>0</v>
      </c>
      <c r="C15" s="14"/>
      <c r="D15" s="14">
        <f>VLOOKUP("Puerto Rico",'[1]Raw Data - S-19'!$A$9:$L$135,3,FALSE)</f>
        <v>2</v>
      </c>
      <c r="E15" s="14"/>
      <c r="F15" s="14">
        <f>VLOOKUP("Puerto Rico",'[1]Raw Data - S-19'!$A$9:$L$135,7,FALSE)</f>
        <v>70</v>
      </c>
      <c r="G15" s="14"/>
      <c r="H15" s="14">
        <f>VLOOKUP("Puerto Rico",'[1]Raw Data - S-19'!$A$9:$L$135,8,FALSE)</f>
        <v>372</v>
      </c>
      <c r="I15" s="14"/>
      <c r="J15" s="14">
        <f>VLOOKUP("Puerto Rico",'[1]Raw Data - S-19'!$A$9:$L$135,12,FALSE)</f>
        <v>0</v>
      </c>
      <c r="K15" s="14"/>
    </row>
    <row r="16" spans="1:11" ht="16.5" customHeight="1" x14ac:dyDescent="0.2">
      <c r="A16" s="12" t="s">
        <v>14</v>
      </c>
      <c r="B16" s="13">
        <f>IF(VLOOKUP("2ND",'[1]Raw Data - S-19'!$A$9:$L$135,2,FALSE)-SUM(B17:B22)=0,VLOOKUP("2ND",'[1]Raw Data - S-19'!$A$9:$L$135,2,FALSE),"ERROR")</f>
        <v>343</v>
      </c>
      <c r="C16" s="13"/>
      <c r="D16" s="13">
        <f>IF(VLOOKUP("2ND",'[1]Raw Data - S-19'!$A$9:$L$135,3,FALSE)-SUM(D17:D22)=0,VLOOKUP("2ND",'[1]Raw Data - S-19'!$A$9:$L$135,3,FALSE),"ERROR")</f>
        <v>305</v>
      </c>
      <c r="E16" s="13"/>
      <c r="F16" s="13">
        <f>IF(VLOOKUP("2ND",'[1]Raw Data - S-19'!$A$9:$L$135,7,FALSE)-SUM(F17:F22)=0,VLOOKUP("2ND",'[1]Raw Data - S-19'!$A$9:$L$135,7,FALSE),"ERROR")</f>
        <v>12207</v>
      </c>
      <c r="G16" s="13"/>
      <c r="H16" s="13">
        <f>IF(VLOOKUP("2ND",'[1]Raw Data - S-19'!$A$9:$L$135,8,FALSE)-SUM(H17:H22)=0,VLOOKUP("2ND",'[1]Raw Data - S-19'!$A$9:$L$135,8,FALSE),"ERROR")</f>
        <v>23359</v>
      </c>
      <c r="I16" s="13"/>
      <c r="J16" s="13">
        <f>IF(VLOOKUP("2ND",'[1]Raw Data - S-19'!$A$9:$L$135,12,FALSE)-SUM(J17:J22)=0,VLOOKUP("2ND",'[1]Raw Data - S-19'!$A$9:$L$135,12,FALSE),"ERROR")</f>
        <v>2303</v>
      </c>
      <c r="K16" s="13"/>
    </row>
    <row r="17" spans="1:11" ht="13.5" customHeight="1" x14ac:dyDescent="0.2">
      <c r="A17" s="1" t="s">
        <v>15</v>
      </c>
      <c r="B17" s="14">
        <f>VLOOKUP("Connecticut",'[1]Raw Data - S-19'!$A$9:$L$135,2,FALSE)</f>
        <v>0</v>
      </c>
      <c r="C17" s="14"/>
      <c r="D17" s="14">
        <f>VLOOKUP("Connecticut",'[1]Raw Data - S-19'!$A$9:$L$135,3,FALSE)</f>
        <v>17</v>
      </c>
      <c r="E17" s="14"/>
      <c r="F17" s="14">
        <f>VLOOKUP("Connecticut",'[1]Raw Data - S-19'!$A$9:$L$135,7,FALSE)</f>
        <v>532</v>
      </c>
      <c r="G17" s="14"/>
      <c r="H17" s="14">
        <f>VLOOKUP("Connecticut",'[1]Raw Data - S-19'!$A$9:$L$135,8,FALSE)</f>
        <v>2659</v>
      </c>
      <c r="I17" s="14"/>
      <c r="J17" s="14">
        <f>VLOOKUP("Connecticut",'[1]Raw Data - S-19'!$A$9:$L$135,12,FALSE)</f>
        <v>0</v>
      </c>
      <c r="K17" s="14"/>
    </row>
    <row r="18" spans="1:11" ht="13.5" customHeight="1" x14ac:dyDescent="0.2">
      <c r="A18" s="1" t="s">
        <v>16</v>
      </c>
      <c r="B18" s="14">
        <f>VLOOKUP("New York, N.",'[1]Raw Data - S-19'!$A$9:$L$135,2,FALSE)</f>
        <v>0</v>
      </c>
      <c r="C18" s="14"/>
      <c r="D18" s="14">
        <f>VLOOKUP("New York, N.",'[1]Raw Data - S-19'!$A$9:$L$135,3,FALSE)</f>
        <v>23</v>
      </c>
      <c r="E18" s="14"/>
      <c r="F18" s="14">
        <f>VLOOKUP("New York, N.",'[1]Raw Data - S-19'!$A$9:$L$135,7,FALSE)</f>
        <v>14</v>
      </c>
      <c r="G18" s="14"/>
      <c r="H18" s="14">
        <f>VLOOKUP("New York, N.",'[1]Raw Data - S-19'!$A$9:$L$135,8,FALSE)</f>
        <v>1230</v>
      </c>
      <c r="I18" s="14"/>
      <c r="J18" s="14">
        <f>VLOOKUP("New York, N.",'[1]Raw Data - S-19'!$A$9:$L$135,12,FALSE)</f>
        <v>0</v>
      </c>
      <c r="K18" s="14"/>
    </row>
    <row r="19" spans="1:11" ht="13.5" customHeight="1" x14ac:dyDescent="0.2">
      <c r="A19" s="1" t="s">
        <v>17</v>
      </c>
      <c r="B19" s="14">
        <f>VLOOKUP("New York, E.",'[1]Raw Data - S-19'!$A$9:$L$135,2,FALSE)</f>
        <v>215</v>
      </c>
      <c r="C19" s="14"/>
      <c r="D19" s="14">
        <f>VLOOKUP("New York, E.",'[1]Raw Data - S-19'!$A$9:$L$135,3,FALSE)</f>
        <v>39</v>
      </c>
      <c r="E19" s="14"/>
      <c r="F19" s="14">
        <f>VLOOKUP("New York, E.",'[1]Raw Data - S-19'!$A$9:$L$135,7,FALSE)</f>
        <v>3559</v>
      </c>
      <c r="G19" s="14"/>
      <c r="H19" s="14">
        <f>VLOOKUP("New York, E.",'[1]Raw Data - S-19'!$A$9:$L$135,8,FALSE)</f>
        <v>5251</v>
      </c>
      <c r="I19" s="14"/>
      <c r="J19" s="14">
        <f>VLOOKUP("New York, E.",'[1]Raw Data - S-19'!$A$9:$L$135,12,FALSE)</f>
        <v>833</v>
      </c>
      <c r="K19" s="14"/>
    </row>
    <row r="20" spans="1:11" ht="13.5" customHeight="1" x14ac:dyDescent="0.2">
      <c r="A20" s="1" t="s">
        <v>18</v>
      </c>
      <c r="B20" s="14">
        <f>VLOOKUP("New York, S.",'[1]Raw Data - S-19'!$A$9:$L$135,2,FALSE)</f>
        <v>128</v>
      </c>
      <c r="C20" s="14"/>
      <c r="D20" s="14">
        <f>VLOOKUP("New York, S.",'[1]Raw Data - S-19'!$A$9:$L$135,3,FALSE)</f>
        <v>199</v>
      </c>
      <c r="E20" s="14"/>
      <c r="F20" s="14">
        <f>VLOOKUP("New York, S.",'[1]Raw Data - S-19'!$A$9:$L$135,7,FALSE)</f>
        <v>8074</v>
      </c>
      <c r="G20" s="14"/>
      <c r="H20" s="14">
        <f>VLOOKUP("New York, S.",'[1]Raw Data - S-19'!$A$9:$L$135,8,FALSE)</f>
        <v>11881</v>
      </c>
      <c r="I20" s="14"/>
      <c r="J20" s="14">
        <f>VLOOKUP("New York, S.",'[1]Raw Data - S-19'!$A$9:$L$135,12,FALSE)</f>
        <v>1454</v>
      </c>
      <c r="K20" s="14"/>
    </row>
    <row r="21" spans="1:11" ht="13.5" customHeight="1" x14ac:dyDescent="0.2">
      <c r="A21" s="1" t="s">
        <v>19</v>
      </c>
      <c r="B21" s="14">
        <f>VLOOKUP("New York, W.",'[1]Raw Data - S-19'!$A$9:$L$135,2,FALSE)</f>
        <v>0</v>
      </c>
      <c r="C21" s="14"/>
      <c r="D21" s="14">
        <f>VLOOKUP("New York, W.",'[1]Raw Data - S-19'!$A$9:$L$135,3,FALSE)</f>
        <v>26</v>
      </c>
      <c r="E21" s="14"/>
      <c r="F21" s="14">
        <f>VLOOKUP("New York, W.",'[1]Raw Data - S-19'!$A$9:$L$135,7,FALSE)</f>
        <v>28</v>
      </c>
      <c r="G21" s="14"/>
      <c r="H21" s="14">
        <f>VLOOKUP("New York, W.",'[1]Raw Data - S-19'!$A$9:$L$135,8,FALSE)</f>
        <v>2179</v>
      </c>
      <c r="I21" s="14"/>
      <c r="J21" s="14">
        <f>VLOOKUP("New York, W.",'[1]Raw Data - S-19'!$A$9:$L$135,12,FALSE)</f>
        <v>16</v>
      </c>
      <c r="K21" s="14"/>
    </row>
    <row r="22" spans="1:11" ht="13.5" customHeight="1" x14ac:dyDescent="0.2">
      <c r="A22" s="1" t="s">
        <v>20</v>
      </c>
      <c r="B22" s="14">
        <f>VLOOKUP("Vermont",'[1]Raw Data - S-19'!$A$9:$L$135,2,FALSE)</f>
        <v>0</v>
      </c>
      <c r="C22" s="14"/>
      <c r="D22" s="14">
        <f>VLOOKUP("Vermont",'[1]Raw Data - S-19'!$A$9:$L$135,3,FALSE)</f>
        <v>1</v>
      </c>
      <c r="E22" s="14"/>
      <c r="F22" s="14">
        <f>VLOOKUP("Vermont",'[1]Raw Data - S-19'!$A$9:$L$135,7,FALSE)</f>
        <v>0</v>
      </c>
      <c r="G22" s="14"/>
      <c r="H22" s="14">
        <f>VLOOKUP("Vermont",'[1]Raw Data - S-19'!$A$9:$L$135,8,FALSE)</f>
        <v>159</v>
      </c>
      <c r="I22" s="14"/>
      <c r="J22" s="14">
        <f>VLOOKUP("Vermont",'[1]Raw Data - S-19'!$A$9:$L$135,12,FALSE)</f>
        <v>0</v>
      </c>
      <c r="K22" s="14"/>
    </row>
    <row r="23" spans="1:11" ht="16.5" customHeight="1" x14ac:dyDescent="0.2">
      <c r="A23" s="12" t="s">
        <v>21</v>
      </c>
      <c r="B23" s="13">
        <f>IF(VLOOKUP("3RD",'[1]Raw Data - S-19'!$A$9:$L$135,2,FALSE)-SUM(B24:B29)=0,VLOOKUP("3RD",'[1]Raw Data - S-19'!$A$9:$L$135,2,FALSE),"ERROR")</f>
        <v>112</v>
      </c>
      <c r="C23" s="13"/>
      <c r="D23" s="13">
        <f>IF(VLOOKUP("3RD",'[1]Raw Data - S-19'!$A$9:$L$135,3,FALSE)-SUM(D24:D29)=0,VLOOKUP("3RD",'[1]Raw Data - S-19'!$A$9:$L$135,3,FALSE),"ERROR")</f>
        <v>188</v>
      </c>
      <c r="E23" s="13"/>
      <c r="F23" s="13">
        <f>IF(VLOOKUP("3RD",'[1]Raw Data - S-19'!$A$9:$L$135,7,FALSE)-SUM(F24:F29)=0,VLOOKUP("3RD",'[1]Raw Data - S-19'!$A$9:$L$135,7,FALSE),"ERROR")</f>
        <v>133494</v>
      </c>
      <c r="G23" s="13"/>
      <c r="H23" s="13">
        <f>IF(VLOOKUP("3RD",'[1]Raw Data - S-19'!$A$9:$L$135,8,FALSE)-SUM(H24:H29)=0,VLOOKUP("3RD",'[1]Raw Data - S-19'!$A$9:$L$135,8,FALSE),"ERROR")</f>
        <v>20491</v>
      </c>
      <c r="I23" s="13"/>
      <c r="J23" s="13">
        <f>IF(VLOOKUP("3RD",'[1]Raw Data - S-19'!$A$9:$L$135,12,FALSE)-SUM(J24:J29)=0,VLOOKUP("3RD",'[1]Raw Data - S-19'!$A$9:$L$135,12,FALSE),"ERROR")</f>
        <v>72409</v>
      </c>
      <c r="K23" s="13"/>
    </row>
    <row r="24" spans="1:11" ht="13.5" customHeight="1" x14ac:dyDescent="0.2">
      <c r="A24" s="1" t="s">
        <v>22</v>
      </c>
      <c r="B24" s="14">
        <f>VLOOKUP("Delaware",'[1]Raw Data - S-19'!$A$9:$L$135,2,FALSE)</f>
        <v>1</v>
      </c>
      <c r="C24" s="14"/>
      <c r="D24" s="14">
        <f>VLOOKUP("Delaware",'[1]Raw Data - S-19'!$A$9:$L$135,3,FALSE)</f>
        <v>4</v>
      </c>
      <c r="E24" s="14"/>
      <c r="F24" s="14">
        <f>VLOOKUP("Delaware",'[1]Raw Data - S-19'!$A$9:$L$135,7,FALSE)</f>
        <v>199</v>
      </c>
      <c r="G24" s="14"/>
      <c r="H24" s="14">
        <f>VLOOKUP("Delaware",'[1]Raw Data - S-19'!$A$9:$L$135,8,FALSE)</f>
        <v>1032</v>
      </c>
      <c r="I24" s="14"/>
      <c r="J24" s="14">
        <f>VLOOKUP("Delaware",'[1]Raw Data - S-19'!$A$9:$L$135,12,FALSE)</f>
        <v>58</v>
      </c>
      <c r="K24" s="14"/>
    </row>
    <row r="25" spans="1:11" ht="13.5" customHeight="1" x14ac:dyDescent="0.2">
      <c r="A25" s="1" t="s">
        <v>23</v>
      </c>
      <c r="B25" s="14">
        <f>VLOOKUP("New Jersey",'[1]Raw Data - S-19'!$A$9:$L$135,2,FALSE)</f>
        <v>47</v>
      </c>
      <c r="C25" s="14"/>
      <c r="D25" s="14">
        <f>VLOOKUP("New Jersey",'[1]Raw Data - S-19'!$A$9:$L$135,3,FALSE)</f>
        <v>84</v>
      </c>
      <c r="E25" s="14"/>
      <c r="F25" s="14">
        <f>VLOOKUP("New Jersey",'[1]Raw Data - S-19'!$A$9:$L$135,7,FALSE)</f>
        <v>5650</v>
      </c>
      <c r="G25" s="14"/>
      <c r="H25" s="14">
        <f>VLOOKUP("New Jersey",'[1]Raw Data - S-19'!$A$9:$L$135,8,FALSE)</f>
        <v>7305</v>
      </c>
      <c r="I25" s="14"/>
      <c r="J25" s="14">
        <f>VLOOKUP("New Jersey",'[1]Raw Data - S-19'!$A$9:$L$135,12,FALSE)</f>
        <v>70165</v>
      </c>
      <c r="K25" s="14"/>
    </row>
    <row r="26" spans="1:11" ht="13.5" customHeight="1" x14ac:dyDescent="0.2">
      <c r="A26" s="1" t="s">
        <v>24</v>
      </c>
      <c r="B26" s="14">
        <f>VLOOKUP("Pennsylvania, E.",'[1]Raw Data - S-19'!$A$9:$L$135,2,FALSE)</f>
        <v>9</v>
      </c>
      <c r="C26" s="14"/>
      <c r="D26" s="14">
        <f>VLOOKUP("Pennsylvania, E.",'[1]Raw Data - S-19'!$A$9:$L$135,3,FALSE)</f>
        <v>37</v>
      </c>
      <c r="E26" s="14"/>
      <c r="F26" s="14">
        <f>VLOOKUP("Pennsylvania, E.",'[1]Raw Data - S-19'!$A$9:$L$135,7,FALSE)</f>
        <v>126673</v>
      </c>
      <c r="G26" s="14"/>
      <c r="H26" s="14">
        <f>VLOOKUP("Pennsylvania, E.",'[1]Raw Data - S-19'!$A$9:$L$135,8,FALSE)</f>
        <v>9822</v>
      </c>
      <c r="I26" s="14"/>
      <c r="J26" s="14">
        <f>VLOOKUP("Pennsylvania, E.",'[1]Raw Data - S-19'!$A$9:$L$135,12,FALSE)</f>
        <v>1375</v>
      </c>
      <c r="K26" s="14"/>
    </row>
    <row r="27" spans="1:11" ht="13.5" customHeight="1" x14ac:dyDescent="0.2">
      <c r="A27" s="1" t="s">
        <v>25</v>
      </c>
      <c r="B27" s="14">
        <f>VLOOKUP("Pennsylvania, M.",'[1]Raw Data - S-19'!$A$9:$L$135,2,FALSE)</f>
        <v>1</v>
      </c>
      <c r="C27" s="14"/>
      <c r="D27" s="14">
        <f>VLOOKUP("Pennsylvania, M.",'[1]Raw Data - S-19'!$A$9:$L$135,3,FALSE)</f>
        <v>18</v>
      </c>
      <c r="E27" s="14"/>
      <c r="F27" s="14">
        <f>VLOOKUP("Pennsylvania, M.",'[1]Raw Data - S-19'!$A$9:$L$135,7,FALSE)</f>
        <v>233</v>
      </c>
      <c r="G27" s="14"/>
      <c r="H27" s="14">
        <f>VLOOKUP("Pennsylvania, M.",'[1]Raw Data - S-19'!$A$9:$L$135,8,FALSE)</f>
        <v>835</v>
      </c>
      <c r="I27" s="14"/>
      <c r="J27" s="14">
        <f>VLOOKUP("Pennsylvania, M.",'[1]Raw Data - S-19'!$A$9:$L$135,12,FALSE)</f>
        <v>6</v>
      </c>
      <c r="K27" s="14"/>
    </row>
    <row r="28" spans="1:11" ht="13.5" customHeight="1" x14ac:dyDescent="0.2">
      <c r="A28" s="1" t="s">
        <v>26</v>
      </c>
      <c r="B28" s="14">
        <f>VLOOKUP("Pennsylvania, W.",'[1]Raw Data - S-19'!$A$9:$L$135,2,FALSE)</f>
        <v>54</v>
      </c>
      <c r="C28" s="14"/>
      <c r="D28" s="14">
        <f>VLOOKUP("Pennsylvania, W.",'[1]Raw Data - S-19'!$A$9:$L$135,3,FALSE)</f>
        <v>45</v>
      </c>
      <c r="E28" s="14"/>
      <c r="F28" s="14">
        <f>VLOOKUP("Pennsylvania, W.",'[1]Raw Data - S-19'!$A$9:$L$135,7,FALSE)</f>
        <v>739</v>
      </c>
      <c r="G28" s="14"/>
      <c r="H28" s="14">
        <f>VLOOKUP("Pennsylvania, W.",'[1]Raw Data - S-19'!$A$9:$L$135,8,FALSE)</f>
        <v>1353</v>
      </c>
      <c r="I28" s="14"/>
      <c r="J28" s="14">
        <f>VLOOKUP("Pennsylvania, W.",'[1]Raw Data - S-19'!$A$9:$L$135,12,FALSE)</f>
        <v>805</v>
      </c>
      <c r="K28" s="14"/>
    </row>
    <row r="29" spans="1:11" ht="13.5" customHeight="1" x14ac:dyDescent="0.2">
      <c r="A29" s="1" t="s">
        <v>27</v>
      </c>
      <c r="B29" s="14">
        <f>VLOOKUP("Virgin Islands",'[1]Raw Data - S-19'!$A$9:$L$135,2,FALSE)</f>
        <v>0</v>
      </c>
      <c r="C29" s="14"/>
      <c r="D29" s="14">
        <f>VLOOKUP("Virgin Islands",'[1]Raw Data - S-19'!$A$9:$L$135,3,FALSE)</f>
        <v>0</v>
      </c>
      <c r="E29" s="14"/>
      <c r="F29" s="14">
        <f>VLOOKUP("Virgin Islands",'[1]Raw Data - S-19'!$A$9:$L$135,7,FALSE)</f>
        <v>0</v>
      </c>
      <c r="G29" s="14"/>
      <c r="H29" s="14">
        <f>VLOOKUP("Virgin Islands",'[1]Raw Data - S-19'!$A$9:$L$135,8,FALSE)</f>
        <v>144</v>
      </c>
      <c r="I29" s="14"/>
      <c r="J29" s="14">
        <f>VLOOKUP("Virgin Islands",'[1]Raw Data - S-19'!$A$9:$L$135,12,FALSE)</f>
        <v>0</v>
      </c>
      <c r="K29" s="14"/>
    </row>
    <row r="30" spans="1:11" ht="16.5" customHeight="1" x14ac:dyDescent="0.2">
      <c r="A30" s="12" t="s">
        <v>28</v>
      </c>
      <c r="B30" s="13">
        <f>IF(VLOOKUP("4TH",'[1]Raw Data - S-19'!$A$9:$L$135,2,FALSE)-SUM(B31:B39)=0,VLOOKUP("4TH",'[1]Raw Data - S-19'!$A$9:$L$135,2,FALSE),"ERROR")</f>
        <v>371</v>
      </c>
      <c r="C30" s="13"/>
      <c r="D30" s="13">
        <f>IF(VLOOKUP("4TH",'[1]Raw Data - S-19'!$A$9:$L$135,3,FALSE)-SUM(D31:D39)=0,VLOOKUP("4TH",'[1]Raw Data - S-19'!$A$9:$L$135,3,FALSE),"ERROR")</f>
        <v>158</v>
      </c>
      <c r="E30" s="13"/>
      <c r="F30" s="13">
        <f>IF(VLOOKUP("4TH",'[1]Raw Data - S-19'!$A$9:$L$135,7,FALSE)-SUM(F31:F39)=0,VLOOKUP("4TH",'[1]Raw Data - S-19'!$A$9:$L$135,7,FALSE),"ERROR")</f>
        <v>11418</v>
      </c>
      <c r="G30" s="13"/>
      <c r="H30" s="13">
        <f>IF(VLOOKUP("4TH",'[1]Raw Data - S-19'!$A$9:$L$135,8,FALSE)-SUM(H31:H39)=0,VLOOKUP("4TH",'[1]Raw Data - S-19'!$A$9:$L$135,8,FALSE),"ERROR")</f>
        <v>32416</v>
      </c>
      <c r="I30" s="13"/>
      <c r="J30" s="13">
        <f>IF(VLOOKUP("4TH",'[1]Raw Data - S-19'!$A$9:$L$135,12,FALSE)-SUM(J31:J39)=0,VLOOKUP("4TH",'[1]Raw Data - S-19'!$A$9:$L$135,12,FALSE),"ERROR")</f>
        <v>6502</v>
      </c>
      <c r="K30" s="13"/>
    </row>
    <row r="31" spans="1:11" ht="13.5" customHeight="1" x14ac:dyDescent="0.2">
      <c r="A31" s="1" t="s">
        <v>29</v>
      </c>
      <c r="B31" s="14">
        <f>VLOOKUP("Maryland",'[1]Raw Data - S-19'!$A$9:$L$135,2,FALSE)</f>
        <v>1</v>
      </c>
      <c r="C31" s="14"/>
      <c r="D31" s="14">
        <f>VLOOKUP("Maryland",'[1]Raw Data - S-19'!$A$9:$L$135,3,FALSE)</f>
        <v>51</v>
      </c>
      <c r="E31" s="14"/>
      <c r="F31" s="14">
        <f>VLOOKUP("Maryland",'[1]Raw Data - S-19'!$A$9:$L$135,7,FALSE)</f>
        <v>1753</v>
      </c>
      <c r="G31" s="14"/>
      <c r="H31" s="14">
        <f>VLOOKUP("Maryland",'[1]Raw Data - S-19'!$A$9:$L$135,8,FALSE)</f>
        <v>3378</v>
      </c>
      <c r="I31" s="14"/>
      <c r="J31" s="14">
        <f>VLOOKUP("Maryland",'[1]Raw Data - S-19'!$A$9:$L$135,12,FALSE)</f>
        <v>307</v>
      </c>
      <c r="K31" s="14"/>
    </row>
    <row r="32" spans="1:11" ht="13.5" customHeight="1" x14ac:dyDescent="0.2">
      <c r="A32" s="1" t="s">
        <v>30</v>
      </c>
      <c r="B32" s="14">
        <f>VLOOKUP("North Carolina,  E.",'[1]Raw Data - S-19'!$A$9:$L$135,2,FALSE)</f>
        <v>0</v>
      </c>
      <c r="C32" s="14"/>
      <c r="D32" s="14">
        <f>VLOOKUP("North Carolina,  E.",'[1]Raw Data - S-19'!$A$9:$L$135,3,FALSE)</f>
        <v>22</v>
      </c>
      <c r="E32" s="14"/>
      <c r="F32" s="14">
        <f>VLOOKUP("North Carolina,  E.",'[1]Raw Data - S-19'!$A$9:$L$135,7,FALSE)</f>
        <v>136</v>
      </c>
      <c r="G32" s="14"/>
      <c r="H32" s="14">
        <f>VLOOKUP("North Carolina,  E.",'[1]Raw Data - S-19'!$A$9:$L$135,8,FALSE)</f>
        <v>1424</v>
      </c>
      <c r="I32" s="14"/>
      <c r="J32" s="14">
        <f>VLOOKUP("North Carolina,  E.",'[1]Raw Data - S-19'!$A$9:$L$135,12,FALSE)</f>
        <v>0</v>
      </c>
      <c r="K32" s="14"/>
    </row>
    <row r="33" spans="1:11" ht="13.5" customHeight="1" x14ac:dyDescent="0.2">
      <c r="A33" s="1" t="s">
        <v>31</v>
      </c>
      <c r="B33" s="14">
        <f>VLOOKUP("North Carolina, M.",'[1]Raw Data - S-19'!$A$9:$L$135,2,FALSE)</f>
        <v>19</v>
      </c>
      <c r="C33" s="14"/>
      <c r="D33" s="14">
        <f>VLOOKUP("North Carolina, M.",'[1]Raw Data - S-19'!$A$9:$L$135,3,FALSE)</f>
        <v>18</v>
      </c>
      <c r="E33" s="14"/>
      <c r="F33" s="14">
        <f>VLOOKUP("North Carolina, M.",'[1]Raw Data - S-19'!$A$9:$L$135,7,FALSE)</f>
        <v>38</v>
      </c>
      <c r="G33" s="14"/>
      <c r="H33" s="14">
        <f>VLOOKUP("North Carolina, M.",'[1]Raw Data - S-19'!$A$9:$L$135,8,FALSE)</f>
        <v>1135</v>
      </c>
      <c r="I33" s="14"/>
      <c r="J33" s="14">
        <f>VLOOKUP("North Carolina, M.",'[1]Raw Data - S-19'!$A$9:$L$135,12,FALSE)</f>
        <v>30</v>
      </c>
      <c r="K33" s="14"/>
    </row>
    <row r="34" spans="1:11" x14ac:dyDescent="0.2">
      <c r="A34" s="1" t="s">
        <v>32</v>
      </c>
      <c r="B34" s="14">
        <f>VLOOKUP("North Carolina, W.",'[1]Raw Data - S-19'!$A$9:$L$135,2,FALSE)</f>
        <v>16</v>
      </c>
      <c r="C34" s="14"/>
      <c r="D34" s="14">
        <f>VLOOKUP("North Carolina, W.",'[1]Raw Data - S-19'!$A$9:$L$135,3,FALSE)</f>
        <v>5</v>
      </c>
      <c r="E34" s="14"/>
      <c r="F34" s="14">
        <f>VLOOKUP("North Carolina, W.",'[1]Raw Data - S-19'!$A$9:$L$135,7,FALSE)</f>
        <v>200</v>
      </c>
      <c r="G34" s="14"/>
      <c r="H34" s="14">
        <f>VLOOKUP("North Carolina, W.",'[1]Raw Data - S-19'!$A$9:$L$135,8,FALSE)</f>
        <v>1973</v>
      </c>
      <c r="I34" s="14"/>
      <c r="J34" s="14">
        <f>VLOOKUP("North Carolina, W.",'[1]Raw Data - S-19'!$A$9:$L$135,12,FALSE)</f>
        <v>97</v>
      </c>
      <c r="K34" s="14"/>
    </row>
    <row r="35" spans="1:11" x14ac:dyDescent="0.2">
      <c r="A35" s="1" t="s">
        <v>33</v>
      </c>
      <c r="B35" s="14">
        <f>VLOOKUP("South Carolina",'[1]Raw Data - S-19'!$A$9:$L$135,2,FALSE)</f>
        <v>324</v>
      </c>
      <c r="C35" s="14"/>
      <c r="D35" s="14">
        <f>VLOOKUP("South Carolina",'[1]Raw Data - S-19'!$A$9:$L$135,3,FALSE)</f>
        <v>31</v>
      </c>
      <c r="E35" s="14"/>
      <c r="F35" s="14">
        <f>VLOOKUP("South Carolina",'[1]Raw Data - S-19'!$A$9:$L$135,7,FALSE)</f>
        <v>2869</v>
      </c>
      <c r="G35" s="14"/>
      <c r="H35" s="14">
        <f>VLOOKUP("South Carolina",'[1]Raw Data - S-19'!$A$9:$L$135,8,FALSE)</f>
        <v>4198</v>
      </c>
      <c r="I35" s="14"/>
      <c r="J35" s="14">
        <f>VLOOKUP("South Carolina",'[1]Raw Data - S-19'!$A$9:$L$135,12,FALSE)</f>
        <v>6033</v>
      </c>
      <c r="K35" s="14"/>
    </row>
    <row r="36" spans="1:11" x14ac:dyDescent="0.2">
      <c r="A36" s="1" t="s">
        <v>34</v>
      </c>
      <c r="B36" s="14">
        <f>VLOOKUP("Virginia, E.",'[1]Raw Data - S-19'!$A$9:$L$135,2,FALSE)</f>
        <v>11</v>
      </c>
      <c r="C36" s="14"/>
      <c r="D36" s="14">
        <f>VLOOKUP("Virginia, E.",'[1]Raw Data - S-19'!$A$9:$L$135,3,FALSE)</f>
        <v>10</v>
      </c>
      <c r="E36" s="14"/>
      <c r="F36" s="14">
        <f>VLOOKUP("Virginia, E.",'[1]Raw Data - S-19'!$A$9:$L$135,7,FALSE)</f>
        <v>270</v>
      </c>
      <c r="G36" s="14"/>
      <c r="H36" s="14">
        <f>VLOOKUP("Virginia, E.",'[1]Raw Data - S-19'!$A$9:$L$135,8,FALSE)</f>
        <v>11995</v>
      </c>
      <c r="I36" s="14"/>
      <c r="J36" s="14">
        <f>VLOOKUP("Virginia, E.",'[1]Raw Data - S-19'!$A$9:$L$135,12,FALSE)</f>
        <v>35</v>
      </c>
      <c r="K36" s="14"/>
    </row>
    <row r="37" spans="1:11" x14ac:dyDescent="0.2">
      <c r="A37" s="1" t="s">
        <v>35</v>
      </c>
      <c r="B37" s="14">
        <f>VLOOKUP("Virginia, W.",'[1]Raw Data - S-19'!$A$9:$L$135,2,FALSE)</f>
        <v>0</v>
      </c>
      <c r="C37" s="14"/>
      <c r="D37" s="14">
        <f>VLOOKUP("Virginia, W.",'[1]Raw Data - S-19'!$A$9:$L$135,3,FALSE)</f>
        <v>4</v>
      </c>
      <c r="E37" s="14"/>
      <c r="F37" s="14">
        <f>VLOOKUP("Virginia, W.",'[1]Raw Data - S-19'!$A$9:$L$135,7,FALSE)</f>
        <v>3</v>
      </c>
      <c r="G37" s="14"/>
      <c r="H37" s="14">
        <f>VLOOKUP("Virginia, W.",'[1]Raw Data - S-19'!$A$9:$L$135,8,FALSE)</f>
        <v>1212</v>
      </c>
      <c r="I37" s="14"/>
      <c r="J37" s="14">
        <f>VLOOKUP("Virginia, W.",'[1]Raw Data - S-19'!$A$9:$L$135,12,FALSE)</f>
        <v>0</v>
      </c>
      <c r="K37" s="14"/>
    </row>
    <row r="38" spans="1:11" x14ac:dyDescent="0.2">
      <c r="A38" s="1" t="s">
        <v>36</v>
      </c>
      <c r="B38" s="14">
        <f>VLOOKUP("West Virginia, N.",'[1]Raw Data - S-19'!$A$9:$L$135,2,FALSE)</f>
        <v>0</v>
      </c>
      <c r="C38" s="14"/>
      <c r="D38" s="14">
        <f>VLOOKUP("West Virginia, N.",'[1]Raw Data - S-19'!$A$9:$L$135,3,FALSE)</f>
        <v>5</v>
      </c>
      <c r="E38" s="14"/>
      <c r="F38" s="14">
        <f>VLOOKUP("West Virginia, N.",'[1]Raw Data - S-19'!$A$9:$L$135,7,FALSE)</f>
        <v>38</v>
      </c>
      <c r="G38" s="14"/>
      <c r="H38" s="14">
        <f>VLOOKUP("West Virginia, N.",'[1]Raw Data - S-19'!$A$9:$L$135,8,FALSE)</f>
        <v>414</v>
      </c>
      <c r="I38" s="14"/>
      <c r="J38" s="14">
        <f>VLOOKUP("West Virginia, N.",'[1]Raw Data - S-19'!$A$9:$L$135,12,FALSE)</f>
        <v>0</v>
      </c>
      <c r="K38" s="14"/>
    </row>
    <row r="39" spans="1:11" x14ac:dyDescent="0.2">
      <c r="A39" s="1" t="s">
        <v>37</v>
      </c>
      <c r="B39" s="14">
        <f>VLOOKUP("West Virginia, S.",'[1]Raw Data - S-19'!$A$9:$L$135,2,FALSE)</f>
        <v>0</v>
      </c>
      <c r="C39" s="14"/>
      <c r="D39" s="14">
        <f>VLOOKUP("West Virginia, S.",'[1]Raw Data - S-19'!$A$9:$L$135,3,FALSE)</f>
        <v>12</v>
      </c>
      <c r="E39" s="14"/>
      <c r="F39" s="14">
        <f>VLOOKUP("West Virginia, S.",'[1]Raw Data - S-19'!$A$9:$L$135,7,FALSE)</f>
        <v>6111</v>
      </c>
      <c r="G39" s="14"/>
      <c r="H39" s="14">
        <f>VLOOKUP("West Virginia, S.",'[1]Raw Data - S-19'!$A$9:$L$135,8,FALSE)</f>
        <v>6687</v>
      </c>
      <c r="I39" s="14"/>
      <c r="J39" s="14">
        <f>VLOOKUP("West Virginia, S.",'[1]Raw Data - S-19'!$A$9:$L$135,12,FALSE)</f>
        <v>0</v>
      </c>
      <c r="K39" s="14"/>
    </row>
    <row r="40" spans="1:11" ht="13.5" customHeight="1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1" ht="13.5" customHeight="1" x14ac:dyDescent="0.25">
      <c r="A41" s="2" t="str">
        <f>"Table S-19. (September 30, "&amp;RIGHT('[1]Raw Data - S-19'!$G$1,4)&amp;"—Continued)"</f>
        <v>Table S-19. (September 30, 2023—Continued)</v>
      </c>
    </row>
    <row r="42" spans="1:11" ht="13.5" customHeight="1" x14ac:dyDescent="0.2"/>
    <row r="43" spans="1:11" ht="18" customHeight="1" x14ac:dyDescent="0.2">
      <c r="A43" s="3" t="s">
        <v>2</v>
      </c>
      <c r="B43" s="4" t="str">
        <f>"12 Months Ending September 30, "&amp;RIGHT('[1]Raw Data - S-19'!$G$1,4)</f>
        <v>12 Months Ending September 30, 2023</v>
      </c>
      <c r="C43" s="4"/>
      <c r="D43" s="4"/>
      <c r="E43" s="4"/>
      <c r="F43" s="5" t="str">
        <f>"Cumulative 1968 - "&amp;RIGHT('[1]Raw Data - S-19'!$G$1,4)</f>
        <v>Cumulative 1968 - 2023</v>
      </c>
      <c r="G43" s="4"/>
      <c r="H43" s="4"/>
      <c r="I43" s="4"/>
      <c r="J43" s="6" t="s">
        <v>3</v>
      </c>
      <c r="K43" s="3"/>
    </row>
    <row r="44" spans="1:11" ht="18" customHeight="1" x14ac:dyDescent="0.2">
      <c r="A44" s="7"/>
      <c r="B44" s="8" t="s">
        <v>4</v>
      </c>
      <c r="C44" s="9"/>
      <c r="D44" s="8" t="s">
        <v>5</v>
      </c>
      <c r="E44" s="10"/>
      <c r="F44" s="8" t="s">
        <v>4</v>
      </c>
      <c r="G44" s="9"/>
      <c r="H44" s="8" t="s">
        <v>5</v>
      </c>
      <c r="I44" s="10"/>
      <c r="J44" s="11"/>
      <c r="K44" s="7"/>
    </row>
    <row r="45" spans="1:11" ht="13.5" customHeight="1" x14ac:dyDescent="0.2">
      <c r="A45" s="12" t="s">
        <v>38</v>
      </c>
      <c r="B45" s="13">
        <f>IF(VLOOKUP("5TH",'[1]Raw Data - S-19'!$A$9:$L$135,2,FALSE)-SUM(B46:B54)=0,VLOOKUP("5TH",'[1]Raw Data - S-19'!$A$9:$L$135,2,FALSE),"ERROR")</f>
        <v>2</v>
      </c>
      <c r="C45" s="13"/>
      <c r="D45" s="13">
        <f>IF(VLOOKUP("5TH",'[1]Raw Data - S-19'!$A$9:$L$135,3,FALSE)-SUM(D46:D54)=0,VLOOKUP("5TH",'[1]Raw Data - S-19'!$A$9:$L$135,3,FALSE),"ERROR")</f>
        <v>139</v>
      </c>
      <c r="E45" s="13"/>
      <c r="F45" s="13">
        <f>IF(VLOOKUP("5TH",'[1]Raw Data - S-19'!$A$9:$L$135,7,FALSE)-SUM(F46:F54)=0,VLOOKUP("5TH",'[1]Raw Data - S-19'!$A$9:$L$135,7,FALSE),"ERROR")</f>
        <v>18192</v>
      </c>
      <c r="G45" s="13"/>
      <c r="H45" s="13">
        <f>IF(VLOOKUP("5TH",'[1]Raw Data - S-19'!$A$9:$L$135,8,FALSE)-SUM(H46:H54)=0,VLOOKUP("5TH",'[1]Raw Data - S-19'!$A$9:$L$135,8,FALSE),"ERROR")</f>
        <v>40615</v>
      </c>
      <c r="I45" s="13"/>
      <c r="J45" s="13">
        <f>IF(VLOOKUP("5TH",'[1]Raw Data - S-19'!$A$9:$L$135,12,FALSE)-SUM(J46:J54)=0,VLOOKUP("5TH",'[1]Raw Data - S-19'!$A$9:$L$135,12,FALSE),"ERROR")</f>
        <v>11503</v>
      </c>
      <c r="K45" s="13"/>
    </row>
    <row r="46" spans="1:11" x14ac:dyDescent="0.2">
      <c r="A46" s="1" t="s">
        <v>39</v>
      </c>
      <c r="B46" s="14">
        <f>VLOOKUP("Louisiana, E.",'[1]Raw Data - S-19'!$A$9:$L$135,2,FALSE)</f>
        <v>1</v>
      </c>
      <c r="C46" s="14"/>
      <c r="D46" s="14">
        <f>VLOOKUP("Louisiana, E.",'[1]Raw Data - S-19'!$A$9:$L$135,3,FALSE)</f>
        <v>45</v>
      </c>
      <c r="E46" s="14"/>
      <c r="F46" s="14">
        <f>VLOOKUP("Louisiana, E.",'[1]Raw Data - S-19'!$A$9:$L$135,7,FALSE)</f>
        <v>11520</v>
      </c>
      <c r="G46" s="14"/>
      <c r="H46" s="14">
        <f>VLOOKUP("Louisiana, E.",'[1]Raw Data - S-19'!$A$9:$L$135,8,FALSE)</f>
        <v>3343</v>
      </c>
      <c r="I46" s="14"/>
      <c r="J46" s="14">
        <f>VLOOKUP("Louisiana, E.",'[1]Raw Data - S-19'!$A$9:$L$135,12,FALSE)</f>
        <v>11471</v>
      </c>
      <c r="K46" s="14"/>
    </row>
    <row r="47" spans="1:11" x14ac:dyDescent="0.2">
      <c r="A47" s="1" t="s">
        <v>40</v>
      </c>
      <c r="B47" s="14">
        <f>VLOOKUP("Louisiana, M.",'[1]Raw Data - S-19'!$A$9:$L$135,2,FALSE)</f>
        <v>0</v>
      </c>
      <c r="C47" s="14"/>
      <c r="D47" s="14">
        <f>VLOOKUP("Louisiana, M.",'[1]Raw Data - S-19'!$A$9:$L$135,3,FALSE)</f>
        <v>11</v>
      </c>
      <c r="E47" s="14"/>
      <c r="F47" s="14">
        <f>VLOOKUP("Louisiana, M.",'[1]Raw Data - S-19'!$A$9:$L$135,7,FALSE)</f>
        <v>8</v>
      </c>
      <c r="G47" s="14"/>
      <c r="H47" s="14">
        <f>VLOOKUP("Louisiana, M.",'[1]Raw Data - S-19'!$A$9:$L$135,8,FALSE)</f>
        <v>1400</v>
      </c>
      <c r="I47" s="14"/>
      <c r="J47" s="14">
        <f>VLOOKUP("Louisiana, M.",'[1]Raw Data - S-19'!$A$9:$L$135,12,FALSE)</f>
        <v>0</v>
      </c>
      <c r="K47" s="14"/>
    </row>
    <row r="48" spans="1:11" x14ac:dyDescent="0.2">
      <c r="A48" s="1" t="s">
        <v>41</v>
      </c>
      <c r="B48" s="14">
        <f>VLOOKUP("Louisiana, W.",'[1]Raw Data - S-19'!$A$9:$L$135,2,FALSE)</f>
        <v>0</v>
      </c>
      <c r="C48" s="14"/>
      <c r="D48" s="14">
        <f>VLOOKUP("Louisiana, W.",'[1]Raw Data - S-19'!$A$9:$L$135,3,FALSE)</f>
        <v>21</v>
      </c>
      <c r="E48" s="14"/>
      <c r="F48" s="14">
        <f>VLOOKUP("Louisiana, W.",'[1]Raw Data - S-19'!$A$9:$L$135,7,FALSE)</f>
        <v>419</v>
      </c>
      <c r="G48" s="14"/>
      <c r="H48" s="14">
        <f>VLOOKUP("Louisiana, W.",'[1]Raw Data - S-19'!$A$9:$L$135,8,FALSE)</f>
        <v>2587</v>
      </c>
      <c r="I48" s="14"/>
      <c r="J48" s="14">
        <f>VLOOKUP("Louisiana, W.",'[1]Raw Data - S-19'!$A$9:$L$135,12,FALSE)</f>
        <v>0</v>
      </c>
      <c r="K48" s="14"/>
    </row>
    <row r="49" spans="1:11" x14ac:dyDescent="0.2">
      <c r="A49" s="1" t="s">
        <v>42</v>
      </c>
      <c r="B49" s="14">
        <f>VLOOKUP("Mississippi, N.",'[1]Raw Data - S-19'!$A$9:$L$135,2,FALSE)</f>
        <v>0</v>
      </c>
      <c r="C49" s="14"/>
      <c r="D49" s="14">
        <f>VLOOKUP("Mississippi, N.",'[1]Raw Data - S-19'!$A$9:$L$135,3,FALSE)</f>
        <v>4</v>
      </c>
      <c r="E49" s="14"/>
      <c r="F49" s="14">
        <f>VLOOKUP("Mississippi, N.",'[1]Raw Data - S-19'!$A$9:$L$135,7,FALSE)</f>
        <v>6</v>
      </c>
      <c r="G49" s="14"/>
      <c r="H49" s="14">
        <f>VLOOKUP("Mississippi, N.",'[1]Raw Data - S-19'!$A$9:$L$135,8,FALSE)</f>
        <v>1373</v>
      </c>
      <c r="I49" s="14"/>
      <c r="J49" s="14">
        <f>VLOOKUP("Mississippi, N.",'[1]Raw Data - S-19'!$A$9:$L$135,12,FALSE)</f>
        <v>0</v>
      </c>
      <c r="K49" s="14"/>
    </row>
    <row r="50" spans="1:11" x14ac:dyDescent="0.2">
      <c r="A50" s="1" t="s">
        <v>43</v>
      </c>
      <c r="B50" s="14">
        <f>VLOOKUP("Mississippi, S.",'[1]Raw Data - S-19'!$A$9:$L$135,2,FALSE)</f>
        <v>0</v>
      </c>
      <c r="C50" s="14"/>
      <c r="D50" s="14">
        <f>VLOOKUP("Mississippi, S.",'[1]Raw Data - S-19'!$A$9:$L$135,3,FALSE)</f>
        <v>7</v>
      </c>
      <c r="E50" s="14"/>
      <c r="F50" s="14">
        <f>VLOOKUP("Mississippi, S.",'[1]Raw Data - S-19'!$A$9:$L$135,7,FALSE)</f>
        <v>27</v>
      </c>
      <c r="G50" s="14"/>
      <c r="H50" s="14">
        <f>VLOOKUP("Mississippi, S.",'[1]Raw Data - S-19'!$A$9:$L$135,8,FALSE)</f>
        <v>6240</v>
      </c>
      <c r="I50" s="14"/>
      <c r="J50" s="14">
        <f>VLOOKUP("Mississippi, S.",'[1]Raw Data - S-19'!$A$9:$L$135,12,FALSE)</f>
        <v>0</v>
      </c>
      <c r="K50" s="14"/>
    </row>
    <row r="51" spans="1:11" x14ac:dyDescent="0.2">
      <c r="A51" s="1" t="s">
        <v>44</v>
      </c>
      <c r="B51" s="14">
        <f>VLOOKUP("Texas, N.",'[1]Raw Data - S-19'!$A$9:$L$135,2,FALSE)</f>
        <v>0</v>
      </c>
      <c r="C51" s="14"/>
      <c r="D51" s="14">
        <f>VLOOKUP("Texas, N.",'[1]Raw Data - S-19'!$A$9:$L$135,3,FALSE)</f>
        <v>18</v>
      </c>
      <c r="E51" s="14"/>
      <c r="F51" s="14">
        <f>VLOOKUP("Texas, N.",'[1]Raw Data - S-19'!$A$9:$L$135,7,FALSE)</f>
        <v>2263</v>
      </c>
      <c r="G51" s="14"/>
      <c r="H51" s="14">
        <f>VLOOKUP("Texas, N.",'[1]Raw Data - S-19'!$A$9:$L$135,8,FALSE)</f>
        <v>3931</v>
      </c>
      <c r="I51" s="14"/>
      <c r="J51" s="14">
        <f>VLOOKUP("Texas, N.",'[1]Raw Data - S-19'!$A$9:$L$135,12,FALSE)</f>
        <v>25</v>
      </c>
      <c r="K51" s="14"/>
    </row>
    <row r="52" spans="1:11" x14ac:dyDescent="0.2">
      <c r="A52" s="1" t="s">
        <v>45</v>
      </c>
      <c r="B52" s="14">
        <f>VLOOKUP("Texas, E.",'[1]Raw Data - S-19'!$A$9:$L$135,2,FALSE)</f>
        <v>1</v>
      </c>
      <c r="C52" s="14"/>
      <c r="D52" s="14">
        <f>VLOOKUP("Texas, E.",'[1]Raw Data - S-19'!$A$9:$L$135,3,FALSE)</f>
        <v>7</v>
      </c>
      <c r="E52" s="14"/>
      <c r="F52" s="14">
        <f>VLOOKUP("Texas, E.",'[1]Raw Data - S-19'!$A$9:$L$135,7,FALSE)</f>
        <v>3452</v>
      </c>
      <c r="G52" s="14"/>
      <c r="H52" s="14">
        <f>VLOOKUP("Texas, E.",'[1]Raw Data - S-19'!$A$9:$L$135,8,FALSE)</f>
        <v>8107</v>
      </c>
      <c r="I52" s="14"/>
      <c r="J52" s="14">
        <f>VLOOKUP("Texas, E.",'[1]Raw Data - S-19'!$A$9:$L$135,12,FALSE)</f>
        <v>7</v>
      </c>
      <c r="K52" s="14"/>
    </row>
    <row r="53" spans="1:11" x14ac:dyDescent="0.2">
      <c r="A53" s="1" t="s">
        <v>46</v>
      </c>
      <c r="B53" s="14">
        <f>VLOOKUP("Texas, S.",'[1]Raw Data - S-19'!$A$9:$L$135,2,FALSE)</f>
        <v>0</v>
      </c>
      <c r="C53" s="14"/>
      <c r="D53" s="14">
        <f>VLOOKUP("Texas, S.",'[1]Raw Data - S-19'!$A$9:$L$135,3,FALSE)</f>
        <v>17</v>
      </c>
      <c r="E53" s="14"/>
      <c r="F53" s="14">
        <f>VLOOKUP("Texas, S.",'[1]Raw Data - S-19'!$A$9:$L$135,7,FALSE)</f>
        <v>470</v>
      </c>
      <c r="G53" s="14"/>
      <c r="H53" s="14">
        <f>VLOOKUP("Texas, S.",'[1]Raw Data - S-19'!$A$9:$L$135,8,FALSE)</f>
        <v>11961</v>
      </c>
      <c r="I53" s="14"/>
      <c r="J53" s="14">
        <f>VLOOKUP("Texas, S.",'[1]Raw Data - S-19'!$A$9:$L$135,12,FALSE)</f>
        <v>0</v>
      </c>
      <c r="K53" s="14"/>
    </row>
    <row r="54" spans="1:11" x14ac:dyDescent="0.2">
      <c r="A54" s="1" t="s">
        <v>47</v>
      </c>
      <c r="B54" s="14">
        <f>VLOOKUP("Texas, W.",'[1]Raw Data - S-19'!$A$9:$L$135,2,FALSE)</f>
        <v>0</v>
      </c>
      <c r="C54" s="14"/>
      <c r="D54" s="14">
        <f>VLOOKUP("Texas, W.",'[1]Raw Data - S-19'!$A$9:$L$135,3,FALSE)</f>
        <v>9</v>
      </c>
      <c r="E54" s="14"/>
      <c r="F54" s="14">
        <f>VLOOKUP("Texas, W.",'[1]Raw Data - S-19'!$A$9:$L$135,7,FALSE)</f>
        <v>27</v>
      </c>
      <c r="G54" s="14"/>
      <c r="H54" s="14">
        <f>VLOOKUP("Texas, W.",'[1]Raw Data - S-19'!$A$9:$L$135,8,FALSE)</f>
        <v>1673</v>
      </c>
      <c r="I54" s="14"/>
      <c r="J54" s="14">
        <f>VLOOKUP("Texas, W.",'[1]Raw Data - S-19'!$A$9:$L$135,12,FALSE)</f>
        <v>0</v>
      </c>
      <c r="K54" s="14"/>
    </row>
    <row r="55" spans="1:11" ht="16.5" customHeight="1" x14ac:dyDescent="0.2">
      <c r="A55" s="12" t="s">
        <v>48</v>
      </c>
      <c r="B55" s="13">
        <f>IF(VLOOKUP("6TH",'[1]Raw Data - S-19'!$A$9:$L$135,2,FALSE)-SUM(B56:B64)=0,VLOOKUP("6TH",'[1]Raw Data - S-19'!$A$9:$L$135,2,FALSE),"ERROR")</f>
        <v>71</v>
      </c>
      <c r="C55" s="13"/>
      <c r="D55" s="13">
        <f>IF(VLOOKUP("6TH",'[1]Raw Data - S-19'!$A$9:$L$135,3,FALSE)-SUM(D56:D64)=0,VLOOKUP("6TH",'[1]Raw Data - S-19'!$A$9:$L$135,3,FALSE),"ERROR")</f>
        <v>158</v>
      </c>
      <c r="E55" s="13"/>
      <c r="F55" s="13">
        <f>IF(VLOOKUP("6TH",'[1]Raw Data - S-19'!$A$9:$L$135,7,FALSE)-SUM(F56:F64)=0,VLOOKUP("6TH",'[1]Raw Data - S-19'!$A$9:$L$135,7,FALSE),"ERROR")</f>
        <v>14230</v>
      </c>
      <c r="G55" s="13"/>
      <c r="H55" s="13">
        <f>IF(VLOOKUP("6TH",'[1]Raw Data - S-19'!$A$9:$L$135,8,FALSE)-SUM(H56:H64)=0,VLOOKUP("6TH",'[1]Raw Data - S-19'!$A$9:$L$135,8,FALSE),"ERROR")</f>
        <v>60505</v>
      </c>
      <c r="I55" s="13"/>
      <c r="J55" s="13">
        <f>IF(VLOOKUP("6TH",'[1]Raw Data - S-19'!$A$9:$L$135,12,FALSE)-SUM(J56:J64)=0,VLOOKUP("6TH",'[1]Raw Data - S-19'!$A$9:$L$135,12,FALSE),"ERROR")</f>
        <v>23681</v>
      </c>
      <c r="K55" s="13"/>
    </row>
    <row r="56" spans="1:11" x14ac:dyDescent="0.2">
      <c r="A56" s="1" t="s">
        <v>49</v>
      </c>
      <c r="B56" s="14">
        <f>VLOOKUP("Kentucky, E.",'[1]Raw Data - S-19'!$A$9:$L$135,2,FALSE)</f>
        <v>0</v>
      </c>
      <c r="C56" s="14"/>
      <c r="D56" s="14">
        <f>VLOOKUP("Kentucky, E.",'[1]Raw Data - S-19'!$A$9:$L$135,3,FALSE)</f>
        <v>24</v>
      </c>
      <c r="E56" s="14"/>
      <c r="F56" s="14">
        <f>VLOOKUP("Kentucky, E.",'[1]Raw Data - S-19'!$A$9:$L$135,7,FALSE)</f>
        <v>519</v>
      </c>
      <c r="G56" s="14"/>
      <c r="H56" s="14">
        <f>VLOOKUP("Kentucky, E.",'[1]Raw Data - S-19'!$A$9:$L$135,8,FALSE)</f>
        <v>1114</v>
      </c>
      <c r="I56" s="14"/>
      <c r="J56" s="14">
        <f>VLOOKUP("Kentucky, E.",'[1]Raw Data - S-19'!$A$9:$L$135,12,FALSE)</f>
        <v>0</v>
      </c>
      <c r="K56" s="14"/>
    </row>
    <row r="57" spans="1:11" x14ac:dyDescent="0.2">
      <c r="A57" s="1" t="s">
        <v>50</v>
      </c>
      <c r="B57" s="14">
        <f>VLOOKUP("Kentucky, W.",'[1]Raw Data - S-19'!$A$9:$L$135,2,FALSE)</f>
        <v>0</v>
      </c>
      <c r="C57" s="14"/>
      <c r="D57" s="14">
        <f>VLOOKUP("Kentucky, W.",'[1]Raw Data - S-19'!$A$9:$L$135,3,FALSE)</f>
        <v>11</v>
      </c>
      <c r="E57" s="14"/>
      <c r="F57" s="14">
        <f>VLOOKUP("Kentucky, W.",'[1]Raw Data - S-19'!$A$9:$L$135,7,FALSE)</f>
        <v>616</v>
      </c>
      <c r="G57" s="14"/>
      <c r="H57" s="14">
        <f>VLOOKUP("Kentucky, W.",'[1]Raw Data - S-19'!$A$9:$L$135,8,FALSE)</f>
        <v>1383</v>
      </c>
      <c r="I57" s="14"/>
      <c r="J57" s="14">
        <f>VLOOKUP("Kentucky, W.",'[1]Raw Data - S-19'!$A$9:$L$135,12,FALSE)</f>
        <v>3</v>
      </c>
      <c r="K57" s="14"/>
    </row>
    <row r="58" spans="1:11" x14ac:dyDescent="0.2">
      <c r="A58" s="1" t="s">
        <v>51</v>
      </c>
      <c r="B58" s="14">
        <f>VLOOKUP("Michigan, E.",'[1]Raw Data - S-19'!$A$9:$L$135,2,FALSE)</f>
        <v>0</v>
      </c>
      <c r="C58" s="14"/>
      <c r="D58" s="14">
        <f>VLOOKUP("Michigan, E.",'[1]Raw Data - S-19'!$A$9:$L$135,3,FALSE)</f>
        <v>22</v>
      </c>
      <c r="E58" s="14"/>
      <c r="F58" s="14">
        <f>VLOOKUP("Michigan, E.",'[1]Raw Data - S-19'!$A$9:$L$135,7,FALSE)</f>
        <v>718</v>
      </c>
      <c r="G58" s="14"/>
      <c r="H58" s="14">
        <f>VLOOKUP("Michigan, E.",'[1]Raw Data - S-19'!$A$9:$L$135,8,FALSE)</f>
        <v>2513</v>
      </c>
      <c r="I58" s="14"/>
      <c r="J58" s="14">
        <f>VLOOKUP("Michigan, E.",'[1]Raw Data - S-19'!$A$9:$L$135,12,FALSE)</f>
        <v>64</v>
      </c>
      <c r="K58" s="14"/>
    </row>
    <row r="59" spans="1:11" x14ac:dyDescent="0.2">
      <c r="A59" s="1" t="s">
        <v>52</v>
      </c>
      <c r="B59" s="14">
        <f>VLOOKUP("Michigan, W.",'[1]Raw Data - S-19'!$A$9:$L$135,2,FALSE)</f>
        <v>0</v>
      </c>
      <c r="C59" s="14"/>
      <c r="D59" s="14">
        <f>VLOOKUP("Michigan, W.",'[1]Raw Data - S-19'!$A$9:$L$135,3,FALSE)</f>
        <v>5</v>
      </c>
      <c r="E59" s="14"/>
      <c r="F59" s="14">
        <f>VLOOKUP("Michigan, W.",'[1]Raw Data - S-19'!$A$9:$L$135,7,FALSE)</f>
        <v>22</v>
      </c>
      <c r="G59" s="14"/>
      <c r="H59" s="14">
        <f>VLOOKUP("Michigan, W.",'[1]Raw Data - S-19'!$A$9:$L$135,8,FALSE)</f>
        <v>379</v>
      </c>
      <c r="I59" s="14"/>
      <c r="J59" s="14">
        <f>VLOOKUP("Michigan, W.",'[1]Raw Data - S-19'!$A$9:$L$135,12,FALSE)</f>
        <v>0</v>
      </c>
      <c r="K59" s="14"/>
    </row>
    <row r="60" spans="1:11" x14ac:dyDescent="0.2">
      <c r="A60" s="1" t="s">
        <v>53</v>
      </c>
      <c r="B60" s="14">
        <f>VLOOKUP("Ohio, N.",'[1]Raw Data - S-19'!$A$9:$L$135,2,FALSE)</f>
        <v>4</v>
      </c>
      <c r="C60" s="14"/>
      <c r="D60" s="14">
        <f>VLOOKUP("Ohio, N.",'[1]Raw Data - S-19'!$A$9:$L$135,3,FALSE)</f>
        <v>31</v>
      </c>
      <c r="E60" s="14"/>
      <c r="F60" s="14">
        <f>VLOOKUP("Ohio, N.",'[1]Raw Data - S-19'!$A$9:$L$135,7,FALSE)</f>
        <v>6368</v>
      </c>
      <c r="G60" s="14"/>
      <c r="H60" s="14">
        <f>VLOOKUP("Ohio, N.",'[1]Raw Data - S-19'!$A$9:$L$135,8,FALSE)</f>
        <v>49705</v>
      </c>
      <c r="I60" s="14"/>
      <c r="J60" s="14">
        <f>VLOOKUP("Ohio, N.",'[1]Raw Data - S-19'!$A$9:$L$135,12,FALSE)</f>
        <v>3261</v>
      </c>
      <c r="K60" s="14"/>
    </row>
    <row r="61" spans="1:11" x14ac:dyDescent="0.2">
      <c r="A61" s="1" t="s">
        <v>54</v>
      </c>
      <c r="B61" s="14">
        <f>VLOOKUP("Ohio, S.",'[1]Raw Data - S-19'!$A$9:$L$135,2,FALSE)</f>
        <v>31</v>
      </c>
      <c r="C61" s="14"/>
      <c r="D61" s="14">
        <f>VLOOKUP("Ohio, S.",'[1]Raw Data - S-19'!$A$9:$L$135,3,FALSE)</f>
        <v>22</v>
      </c>
      <c r="E61" s="14"/>
      <c r="F61" s="14">
        <f>VLOOKUP("Ohio, S.",'[1]Raw Data - S-19'!$A$9:$L$135,7,FALSE)</f>
        <v>5209</v>
      </c>
      <c r="G61" s="14"/>
      <c r="H61" s="14">
        <f>VLOOKUP("Ohio, S.",'[1]Raw Data - S-19'!$A$9:$L$135,8,FALSE)</f>
        <v>1982</v>
      </c>
      <c r="I61" s="14"/>
      <c r="J61" s="14">
        <f>VLOOKUP("Ohio, S.",'[1]Raw Data - S-19'!$A$9:$L$135,12,FALSE)</f>
        <v>20292</v>
      </c>
      <c r="K61" s="14"/>
    </row>
    <row r="62" spans="1:11" x14ac:dyDescent="0.2">
      <c r="A62" s="1" t="s">
        <v>55</v>
      </c>
      <c r="B62" s="14">
        <f>VLOOKUP("Tennesee, E.",'[1]Raw Data - S-19'!$A$9:$L$135,2,FALSE)</f>
        <v>0</v>
      </c>
      <c r="C62" s="14"/>
      <c r="D62" s="14">
        <f>VLOOKUP("Tennesee, E.",'[1]Raw Data - S-19'!$A$9:$L$135,3,FALSE)</f>
        <v>4</v>
      </c>
      <c r="E62" s="14"/>
      <c r="F62" s="14">
        <f>VLOOKUP("Tennesee, E.",'[1]Raw Data - S-19'!$A$9:$L$135,7,FALSE)</f>
        <v>35</v>
      </c>
      <c r="G62" s="14"/>
      <c r="H62" s="14">
        <f>VLOOKUP("Tennesee, E.",'[1]Raw Data - S-19'!$A$9:$L$135,8,FALSE)</f>
        <v>1202</v>
      </c>
      <c r="I62" s="14"/>
      <c r="J62" s="14">
        <f>VLOOKUP("Tennesee, E.",'[1]Raw Data - S-19'!$A$9:$L$135,12,FALSE)</f>
        <v>0</v>
      </c>
      <c r="K62" s="14"/>
    </row>
    <row r="63" spans="1:11" x14ac:dyDescent="0.2">
      <c r="A63" s="1" t="s">
        <v>56</v>
      </c>
      <c r="B63" s="14">
        <f>VLOOKUP("Tennesee, M.",'[1]Raw Data - S-19'!$A$9:$L$135,2,FALSE)</f>
        <v>36</v>
      </c>
      <c r="C63" s="14"/>
      <c r="D63" s="14">
        <f>VLOOKUP("Tennesee, M.",'[1]Raw Data - S-19'!$A$9:$L$135,3,FALSE)</f>
        <v>33</v>
      </c>
      <c r="E63" s="14"/>
      <c r="F63" s="14">
        <f>VLOOKUP("Tennesee, M.",'[1]Raw Data - S-19'!$A$9:$L$135,7,FALSE)</f>
        <v>671</v>
      </c>
      <c r="G63" s="14"/>
      <c r="H63" s="14">
        <f>VLOOKUP("Tennesee, M.",'[1]Raw Data - S-19'!$A$9:$L$135,8,FALSE)</f>
        <v>1064</v>
      </c>
      <c r="I63" s="14"/>
      <c r="J63" s="14">
        <f>VLOOKUP("Tennesee, M.",'[1]Raw Data - S-19'!$A$9:$L$135,12,FALSE)</f>
        <v>41</v>
      </c>
      <c r="K63" s="14"/>
    </row>
    <row r="64" spans="1:11" x14ac:dyDescent="0.2">
      <c r="A64" s="1" t="s">
        <v>57</v>
      </c>
      <c r="B64" s="14">
        <f>VLOOKUP("Tennessee, W.",'[1]Raw Data - S-19'!$A$9:$L$135,2,FALSE)</f>
        <v>0</v>
      </c>
      <c r="C64" s="14"/>
      <c r="D64" s="14">
        <f>VLOOKUP("Tennessee, W.",'[1]Raw Data - S-19'!$A$9:$L$135,3,FALSE)</f>
        <v>6</v>
      </c>
      <c r="E64" s="14"/>
      <c r="F64" s="14">
        <f>VLOOKUP("Tennessee, W.",'[1]Raw Data - S-19'!$A$9:$L$135,7,FALSE)</f>
        <v>72</v>
      </c>
      <c r="G64" s="14"/>
      <c r="H64" s="14">
        <f>VLOOKUP("Tennessee, W.",'[1]Raw Data - S-19'!$A$9:$L$135,8,FALSE)</f>
        <v>1163</v>
      </c>
      <c r="I64" s="14"/>
      <c r="J64" s="14">
        <f>VLOOKUP("Tennessee, W.",'[1]Raw Data - S-19'!$A$9:$L$135,12,FALSE)</f>
        <v>20</v>
      </c>
      <c r="K64" s="14"/>
    </row>
    <row r="65" spans="1:11" ht="16.5" customHeight="1" x14ac:dyDescent="0.2">
      <c r="A65" s="12" t="s">
        <v>58</v>
      </c>
      <c r="B65" s="13">
        <f>IF(VLOOKUP("7TH",'[1]Raw Data - S-19'!$A$9:$L$135,2,FALSE)-SUM(B66:B73)=0,VLOOKUP("7TH",'[1]Raw Data - S-19'!$A$9:$L$135,2,FALSE),"ERROR")</f>
        <v>359</v>
      </c>
      <c r="C65" s="13"/>
      <c r="D65" s="13">
        <f>IF(VLOOKUP("7TH",'[1]Raw Data - S-19'!$A$9:$L$135,3,FALSE)-SUM(D66:D73)=0,VLOOKUP("7TH",'[1]Raw Data - S-19'!$A$9:$L$135,3,FALSE),"ERROR")</f>
        <v>137</v>
      </c>
      <c r="E65" s="13"/>
      <c r="F65" s="13">
        <f>IF(VLOOKUP("7TH",'[1]Raw Data - S-19'!$A$9:$L$135,7,FALSE)-SUM(F66:F73)=0,VLOOKUP("7TH",'[1]Raw Data - S-19'!$A$9:$L$135,7,FALSE),"ERROR")</f>
        <v>9717</v>
      </c>
      <c r="G65" s="13"/>
      <c r="H65" s="13">
        <f>IF(VLOOKUP("7TH",'[1]Raw Data - S-19'!$A$9:$L$135,8,FALSE)-SUM(H66:H73)=0,VLOOKUP("7TH",'[1]Raw Data - S-19'!$A$9:$L$135,8,FALSE),"ERROR")</f>
        <v>14210</v>
      </c>
      <c r="I65" s="13"/>
      <c r="J65" s="13">
        <f>IF(VLOOKUP("7TH",'[1]Raw Data - S-19'!$A$9:$L$135,12,FALSE)-SUM(J66:J73)=0,VLOOKUP("7TH",'[1]Raw Data - S-19'!$A$9:$L$135,12,FALSE),"ERROR")</f>
        <v>18781</v>
      </c>
      <c r="K65" s="14"/>
    </row>
    <row r="66" spans="1:11" x14ac:dyDescent="0.2">
      <c r="A66" s="1" t="s">
        <v>59</v>
      </c>
      <c r="B66" s="14">
        <f>VLOOKUP("Illinois, N.",'[1]Raw Data - S-19'!$A$9:$L$135,2,FALSE)</f>
        <v>167</v>
      </c>
      <c r="C66" s="14"/>
      <c r="D66" s="14">
        <f>VLOOKUP("Illinois, N.",'[1]Raw Data - S-19'!$A$9:$L$135,3,FALSE)</f>
        <v>61</v>
      </c>
      <c r="E66" s="14"/>
      <c r="F66" s="14">
        <f>VLOOKUP("Illinois, N.",'[1]Raw Data - S-19'!$A$9:$L$135,7,FALSE)</f>
        <v>5348</v>
      </c>
      <c r="G66" s="14"/>
      <c r="H66" s="14">
        <f>VLOOKUP("Illinois, N.",'[1]Raw Data - S-19'!$A$9:$L$135,8,FALSE)</f>
        <v>4101</v>
      </c>
      <c r="I66" s="14"/>
      <c r="J66" s="14">
        <f>VLOOKUP("Illinois, N.",'[1]Raw Data - S-19'!$A$9:$L$135,12,FALSE)</f>
        <v>6018</v>
      </c>
      <c r="K66" s="14"/>
    </row>
    <row r="67" spans="1:11" ht="11.4" x14ac:dyDescent="0.2">
      <c r="A67" s="1" t="s">
        <v>60</v>
      </c>
      <c r="B67" s="14">
        <f>VLOOKUP("Illinois, E.*",'[1]Raw Data - S-19'!$A$9:$L$135,2,FALSE)</f>
        <v>0</v>
      </c>
      <c r="C67" s="14"/>
      <c r="D67" s="14">
        <f>VLOOKUP("Illinois, E.*",'[1]Raw Data - S-19'!$A$9:$L$135,3,FALSE)</f>
        <v>0</v>
      </c>
      <c r="E67" s="14"/>
      <c r="F67" s="14">
        <f>VLOOKUP("Illinois, E.*",'[1]Raw Data - S-19'!$A$9:$L$135,7,FALSE)</f>
        <v>0</v>
      </c>
      <c r="G67" s="14"/>
      <c r="H67" s="14">
        <f>VLOOKUP("Illinois, E.*",'[1]Raw Data - S-19'!$A$9:$L$135,8,FALSE)</f>
        <v>9</v>
      </c>
      <c r="I67" s="14"/>
      <c r="J67" s="14">
        <f>VLOOKUP("Illinois, E.*",'[1]Raw Data - S-19'!$A$9:$L$135,12,FALSE)</f>
        <v>0</v>
      </c>
      <c r="K67" s="14"/>
    </row>
    <row r="68" spans="1:11" x14ac:dyDescent="0.2">
      <c r="A68" s="1" t="s">
        <v>61</v>
      </c>
      <c r="B68" s="14">
        <f>VLOOKUP("Illinois, C.",'[1]Raw Data - S-19'!$A$9:$L$135,2,FALSE)</f>
        <v>0</v>
      </c>
      <c r="C68" s="14"/>
      <c r="D68" s="14">
        <f>VLOOKUP("Illinois, C.",'[1]Raw Data - S-19'!$A$9:$L$135,3,FALSE)</f>
        <v>7</v>
      </c>
      <c r="E68" s="14"/>
      <c r="F68" s="14">
        <f>VLOOKUP("Illinois, C.",'[1]Raw Data - S-19'!$A$9:$L$135,7,FALSE)</f>
        <v>46</v>
      </c>
      <c r="G68" s="14"/>
      <c r="H68" s="14">
        <f>VLOOKUP("Illinois, C.",'[1]Raw Data - S-19'!$A$9:$L$135,8,FALSE)</f>
        <v>1437</v>
      </c>
      <c r="I68" s="14"/>
      <c r="J68" s="14">
        <f>VLOOKUP("Illinois, C.",'[1]Raw Data - S-19'!$A$9:$L$135,12,FALSE)</f>
        <v>0</v>
      </c>
      <c r="K68" s="14"/>
    </row>
    <row r="69" spans="1:11" x14ac:dyDescent="0.2">
      <c r="A69" s="1" t="s">
        <v>62</v>
      </c>
      <c r="B69" s="14">
        <f>VLOOKUP("Illinois, S.",'[1]Raw Data - S-19'!$A$9:$L$135,2,FALSE)</f>
        <v>18</v>
      </c>
      <c r="C69" s="14"/>
      <c r="D69" s="14">
        <f>VLOOKUP("Illinois, S.",'[1]Raw Data - S-19'!$A$9:$L$135,3,FALSE)</f>
        <v>18</v>
      </c>
      <c r="E69" s="14"/>
      <c r="F69" s="14">
        <f>VLOOKUP("Illinois, S.",'[1]Raw Data - S-19'!$A$9:$L$135,7,FALSE)</f>
        <v>1398</v>
      </c>
      <c r="G69" s="14"/>
      <c r="H69" s="14">
        <f>VLOOKUP("Illinois, S.",'[1]Raw Data - S-19'!$A$9:$L$135,8,FALSE)</f>
        <v>1712</v>
      </c>
      <c r="I69" s="14"/>
      <c r="J69" s="14">
        <f>VLOOKUP("Illinois, S.",'[1]Raw Data - S-19'!$A$9:$L$135,12,FALSE)</f>
        <v>4759</v>
      </c>
      <c r="K69" s="14"/>
    </row>
    <row r="70" spans="1:11" x14ac:dyDescent="0.2">
      <c r="A70" s="1" t="s">
        <v>63</v>
      </c>
      <c r="B70" s="14">
        <f>VLOOKUP("Indiana, N.",'[1]Raw Data - S-19'!$A$9:$L$135,2,FALSE)</f>
        <v>0</v>
      </c>
      <c r="C70" s="14"/>
      <c r="D70" s="14">
        <f>VLOOKUP("Indiana, N.",'[1]Raw Data - S-19'!$A$9:$L$135,3,FALSE)</f>
        <v>9</v>
      </c>
      <c r="E70" s="14"/>
      <c r="F70" s="14">
        <f>VLOOKUP("Indiana, N.",'[1]Raw Data - S-19'!$A$9:$L$135,7,FALSE)</f>
        <v>628</v>
      </c>
      <c r="G70" s="14"/>
      <c r="H70" s="14">
        <f>VLOOKUP("Indiana, N.",'[1]Raw Data - S-19'!$A$9:$L$135,8,FALSE)</f>
        <v>1919</v>
      </c>
      <c r="I70" s="14"/>
      <c r="J70" s="14">
        <f>VLOOKUP("Indiana, N.",'[1]Raw Data - S-19'!$A$9:$L$135,12,FALSE)</f>
        <v>0</v>
      </c>
      <c r="K70" s="14"/>
    </row>
    <row r="71" spans="1:11" x14ac:dyDescent="0.2">
      <c r="A71" s="1" t="s">
        <v>64</v>
      </c>
      <c r="B71" s="14">
        <f>VLOOKUP("Indiana, S.",'[1]Raw Data - S-19'!$A$9:$L$135,2,FALSE)</f>
        <v>160</v>
      </c>
      <c r="C71" s="14"/>
      <c r="D71" s="14">
        <f>VLOOKUP("Indiana, S.",'[1]Raw Data - S-19'!$A$9:$L$135,3,FALSE)</f>
        <v>23</v>
      </c>
      <c r="E71" s="14"/>
      <c r="F71" s="14">
        <f>VLOOKUP("Indiana, S.",'[1]Raw Data - S-19'!$A$9:$L$135,7,FALSE)</f>
        <v>2150</v>
      </c>
      <c r="G71" s="14"/>
      <c r="H71" s="14">
        <f>VLOOKUP("Indiana, S.",'[1]Raw Data - S-19'!$A$9:$L$135,8,FALSE)</f>
        <v>3175</v>
      </c>
      <c r="I71" s="14"/>
      <c r="J71" s="14">
        <f>VLOOKUP("Indiana, S.",'[1]Raw Data - S-19'!$A$9:$L$135,12,FALSE)</f>
        <v>7986</v>
      </c>
      <c r="K71" s="14"/>
    </row>
    <row r="72" spans="1:11" x14ac:dyDescent="0.2">
      <c r="A72" s="1" t="s">
        <v>65</v>
      </c>
      <c r="B72" s="14">
        <f>VLOOKUP("Wisconsin, E.",'[1]Raw Data - S-19'!$A$9:$L$135,2,FALSE)</f>
        <v>14</v>
      </c>
      <c r="C72" s="14"/>
      <c r="D72" s="14">
        <f>VLOOKUP("Wisconsin, E.",'[1]Raw Data - S-19'!$A$9:$L$135,3,FALSE)</f>
        <v>8</v>
      </c>
      <c r="E72" s="14"/>
      <c r="F72" s="14">
        <f>VLOOKUP("Wisconsin, E.",'[1]Raw Data - S-19'!$A$9:$L$135,7,FALSE)</f>
        <v>109</v>
      </c>
      <c r="G72" s="14"/>
      <c r="H72" s="14">
        <f>VLOOKUP("Wisconsin, E.",'[1]Raw Data - S-19'!$A$9:$L$135,8,FALSE)</f>
        <v>1297</v>
      </c>
      <c r="I72" s="14"/>
      <c r="J72" s="14">
        <f>VLOOKUP("Wisconsin, E.",'[1]Raw Data - S-19'!$A$9:$L$135,12,FALSE)</f>
        <v>18</v>
      </c>
      <c r="K72" s="14"/>
    </row>
    <row r="73" spans="1:11" x14ac:dyDescent="0.2">
      <c r="A73" s="1" t="s">
        <v>66</v>
      </c>
      <c r="B73" s="14">
        <f>VLOOKUP("Wisconsin, W.",'[1]Raw Data - S-19'!$A$9:$L$135,2,FALSE)</f>
        <v>0</v>
      </c>
      <c r="C73" s="14"/>
      <c r="D73" s="14">
        <f>VLOOKUP("Wisconsin, W.",'[1]Raw Data - S-19'!$A$9:$L$135,3,FALSE)</f>
        <v>11</v>
      </c>
      <c r="E73" s="14"/>
      <c r="F73" s="14">
        <f>VLOOKUP("Wisconsin, W.",'[1]Raw Data - S-19'!$A$9:$L$135,7,FALSE)</f>
        <v>38</v>
      </c>
      <c r="G73" s="14"/>
      <c r="H73" s="14">
        <f>VLOOKUP("Wisconsin, W.",'[1]Raw Data - S-19'!$A$9:$L$135,8,FALSE)</f>
        <v>560</v>
      </c>
      <c r="I73" s="14"/>
      <c r="J73" s="14">
        <f>VLOOKUP("Wisconsin, W.",'[1]Raw Data - S-19'!$A$9:$L$135,12,FALSE)</f>
        <v>0</v>
      </c>
      <c r="K73" s="14"/>
    </row>
    <row r="74" spans="1:11" ht="16.5" customHeight="1" x14ac:dyDescent="0.2">
      <c r="A74" s="12" t="s">
        <v>67</v>
      </c>
      <c r="B74" s="13">
        <f>IF(VLOOKUP("8TH",'[1]Raw Data - S-19'!$A$9:$L$135,2,FALSE)-SUM(B75:B84)=0,VLOOKUP("8TH",'[1]Raw Data - S-19'!$A$9:$L$135,2,FALSE),"ERROR")</f>
        <v>40</v>
      </c>
      <c r="C74" s="13"/>
      <c r="D74" s="13">
        <f>IF(VLOOKUP("8TH",'[1]Raw Data - S-19'!$A$9:$L$135,3,FALSE)-SUM(D75:D84)=0,VLOOKUP("8TH",'[1]Raw Data - S-19'!$A$9:$L$135,3,FALSE),"ERROR")</f>
        <v>511</v>
      </c>
      <c r="E74" s="13"/>
      <c r="F74" s="13">
        <f>IF(VLOOKUP("8TH",'[1]Raw Data - S-19'!$A$9:$L$135,7,FALSE)-SUM(F75:F84)=0,VLOOKUP("8TH",'[1]Raw Data - S-19'!$A$9:$L$135,7,FALSE),"ERROR")</f>
        <v>23928</v>
      </c>
      <c r="G74" s="13"/>
      <c r="H74" s="13">
        <f>IF(VLOOKUP("8TH",'[1]Raw Data - S-19'!$A$9:$L$135,8,FALSE)-SUM(H75:H84)=0,VLOOKUP("8TH",'[1]Raw Data - S-19'!$A$9:$L$135,8,FALSE),"ERROR")</f>
        <v>26969</v>
      </c>
      <c r="I74" s="13"/>
      <c r="J74" s="13">
        <f>IF(VLOOKUP("8TH",'[1]Raw Data - S-19'!$A$9:$L$135,12,FALSE)-SUM(J75:J84)=0,VLOOKUP("8TH",'[1]Raw Data - S-19'!$A$9:$L$135,12,FALSE),"ERROR")</f>
        <v>6161</v>
      </c>
      <c r="K74" s="14"/>
    </row>
    <row r="75" spans="1:11" x14ac:dyDescent="0.2">
      <c r="A75" s="1" t="s">
        <v>68</v>
      </c>
      <c r="B75" s="14">
        <f>VLOOKUP("Arkansas, E.",'[1]Raw Data - S-19'!$A$9:$L$135,2,FALSE)</f>
        <v>1</v>
      </c>
      <c r="C75" s="14"/>
      <c r="D75" s="14">
        <f>VLOOKUP("Arkansas, E.",'[1]Raw Data - S-19'!$A$9:$L$135,3,FALSE)</f>
        <v>18</v>
      </c>
      <c r="E75" s="14"/>
      <c r="F75" s="14">
        <f>VLOOKUP("Arkansas, E.",'[1]Raw Data - S-19'!$A$9:$L$135,7,FALSE)</f>
        <v>9774</v>
      </c>
      <c r="G75" s="14"/>
      <c r="H75" s="14">
        <f>VLOOKUP("Arkansas, E.",'[1]Raw Data - S-19'!$A$9:$L$135,8,FALSE)</f>
        <v>1006</v>
      </c>
      <c r="I75" s="14"/>
      <c r="J75" s="14">
        <f>VLOOKUP("Arkansas, E.",'[1]Raw Data - S-19'!$A$9:$L$135,12,FALSE)</f>
        <v>32</v>
      </c>
      <c r="K75" s="14"/>
    </row>
    <row r="76" spans="1:11" x14ac:dyDescent="0.2">
      <c r="A76" s="1" t="s">
        <v>69</v>
      </c>
      <c r="B76" s="14">
        <f>VLOOKUP("Arkansas, W.",'[1]Raw Data - S-19'!$A$9:$L$135,2,FALSE)</f>
        <v>0</v>
      </c>
      <c r="C76" s="14"/>
      <c r="D76" s="14">
        <f>VLOOKUP("Arkansas, W.",'[1]Raw Data - S-19'!$A$9:$L$135,3,FALSE)</f>
        <v>5</v>
      </c>
      <c r="E76" s="14"/>
      <c r="F76" s="14">
        <f>VLOOKUP("Arkansas, W.",'[1]Raw Data - S-19'!$A$9:$L$135,7,FALSE)</f>
        <v>15</v>
      </c>
      <c r="G76" s="14"/>
      <c r="H76" s="14">
        <f>VLOOKUP("Arkansas, W.",'[1]Raw Data - S-19'!$A$9:$L$135,8,FALSE)</f>
        <v>499</v>
      </c>
      <c r="I76" s="14"/>
      <c r="J76" s="14">
        <f>VLOOKUP("Arkansas, W.",'[1]Raw Data - S-19'!$A$9:$L$135,12,FALSE)</f>
        <v>0</v>
      </c>
      <c r="K76" s="14"/>
    </row>
    <row r="77" spans="1:11" x14ac:dyDescent="0.2">
      <c r="A77" s="1" t="s">
        <v>70</v>
      </c>
      <c r="B77" s="14">
        <f>VLOOKUP("Iowa, N.",'[1]Raw Data - S-19'!$A$9:$L$135,2,FALSE)</f>
        <v>0</v>
      </c>
      <c r="C77" s="14"/>
      <c r="D77" s="14">
        <f>VLOOKUP("Iowa, N.",'[1]Raw Data - S-19'!$A$9:$L$135,3,FALSE)</f>
        <v>6</v>
      </c>
      <c r="E77" s="14"/>
      <c r="F77" s="14">
        <f>VLOOKUP("Iowa, N.",'[1]Raw Data - S-19'!$A$9:$L$135,7,FALSE)</f>
        <v>4</v>
      </c>
      <c r="G77" s="14"/>
      <c r="H77" s="14">
        <f>VLOOKUP("Iowa, N.",'[1]Raw Data - S-19'!$A$9:$L$135,8,FALSE)</f>
        <v>567</v>
      </c>
      <c r="I77" s="14"/>
      <c r="J77" s="14">
        <f>VLOOKUP("Iowa, N.",'[1]Raw Data - S-19'!$A$9:$L$135,12,FALSE)</f>
        <v>0</v>
      </c>
      <c r="K77" s="14"/>
    </row>
    <row r="78" spans="1:11" x14ac:dyDescent="0.2">
      <c r="A78" s="1" t="s">
        <v>71</v>
      </c>
      <c r="B78" s="14">
        <f>VLOOKUP("Iowa, S.",'[1]Raw Data - S-19'!$A$9:$L$135,2,FALSE)</f>
        <v>0</v>
      </c>
      <c r="C78" s="14"/>
      <c r="D78" s="14">
        <f>VLOOKUP("Iowa, S.",'[1]Raw Data - S-19'!$A$9:$L$135,3,FALSE)</f>
        <v>9</v>
      </c>
      <c r="E78" s="14"/>
      <c r="F78" s="14">
        <f>VLOOKUP("Iowa, S.",'[1]Raw Data - S-19'!$A$9:$L$135,7,FALSE)</f>
        <v>26</v>
      </c>
      <c r="G78" s="14"/>
      <c r="H78" s="14">
        <f>VLOOKUP("Iowa, S.",'[1]Raw Data - S-19'!$A$9:$L$135,8,FALSE)</f>
        <v>1448</v>
      </c>
      <c r="I78" s="14"/>
      <c r="J78" s="14">
        <f>VLOOKUP("Iowa, S.",'[1]Raw Data - S-19'!$A$9:$L$135,12,FALSE)</f>
        <v>0</v>
      </c>
      <c r="K78" s="14"/>
    </row>
    <row r="79" spans="1:11" x14ac:dyDescent="0.2">
      <c r="A79" s="1" t="s">
        <v>72</v>
      </c>
      <c r="B79" s="14">
        <f>VLOOKUP("Minnesota",'[1]Raw Data - S-19'!$A$9:$L$135,2,FALSE)</f>
        <v>23</v>
      </c>
      <c r="C79" s="14"/>
      <c r="D79" s="14">
        <f>VLOOKUP("Minnesota",'[1]Raw Data - S-19'!$A$9:$L$135,3,FALSE)</f>
        <v>338</v>
      </c>
      <c r="E79" s="14"/>
      <c r="F79" s="14">
        <f>VLOOKUP("Minnesota",'[1]Raw Data - S-19'!$A$9:$L$135,7,FALSE)</f>
        <v>10961</v>
      </c>
      <c r="G79" s="14"/>
      <c r="H79" s="14">
        <f>VLOOKUP("Minnesota",'[1]Raw Data - S-19'!$A$9:$L$135,8,FALSE)</f>
        <v>15856</v>
      </c>
      <c r="I79" s="14"/>
      <c r="J79" s="14">
        <f>VLOOKUP("Minnesota",'[1]Raw Data - S-19'!$A$9:$L$135,12,FALSE)</f>
        <v>6021</v>
      </c>
      <c r="K79" s="14"/>
    </row>
    <row r="80" spans="1:11" x14ac:dyDescent="0.2">
      <c r="A80" s="1" t="s">
        <v>73</v>
      </c>
      <c r="B80" s="14">
        <f>VLOOKUP("Missouri, E.",'[1]Raw Data - S-19'!$A$9:$L$135,2,FALSE)</f>
        <v>1</v>
      </c>
      <c r="C80" s="14"/>
      <c r="D80" s="14">
        <f>VLOOKUP("Missouri, E.",'[1]Raw Data - S-19'!$A$9:$L$135,3,FALSE)</f>
        <v>100</v>
      </c>
      <c r="E80" s="14"/>
      <c r="F80" s="14">
        <f>VLOOKUP("Missouri, E.",'[1]Raw Data - S-19'!$A$9:$L$135,7,FALSE)</f>
        <v>2724</v>
      </c>
      <c r="G80" s="14"/>
      <c r="H80" s="14">
        <f>VLOOKUP("Missouri, E.",'[1]Raw Data - S-19'!$A$9:$L$135,8,FALSE)</f>
        <v>3832</v>
      </c>
      <c r="I80" s="14"/>
      <c r="J80" s="14">
        <f>VLOOKUP("Missouri, E.",'[1]Raw Data - S-19'!$A$9:$L$135,12,FALSE)</f>
        <v>58</v>
      </c>
      <c r="K80" s="14"/>
    </row>
    <row r="81" spans="1:11" x14ac:dyDescent="0.2">
      <c r="A81" s="1" t="s">
        <v>74</v>
      </c>
      <c r="B81" s="14">
        <f>VLOOKUP("Missouri, W.",'[1]Raw Data - S-19'!$A$9:$L$135,2,FALSE)</f>
        <v>15</v>
      </c>
      <c r="C81" s="14"/>
      <c r="D81" s="14">
        <f>VLOOKUP("Missouri, W.",'[1]Raw Data - S-19'!$A$9:$L$135,3,FALSE)</f>
        <v>27</v>
      </c>
      <c r="E81" s="14"/>
      <c r="F81" s="14">
        <f>VLOOKUP("Missouri, W.",'[1]Raw Data - S-19'!$A$9:$L$135,7,FALSE)</f>
        <v>419</v>
      </c>
      <c r="G81" s="14"/>
      <c r="H81" s="14">
        <f>VLOOKUP("Missouri, W.",'[1]Raw Data - S-19'!$A$9:$L$135,8,FALSE)</f>
        <v>2019</v>
      </c>
      <c r="I81" s="14"/>
      <c r="J81" s="14">
        <f>VLOOKUP("Missouri, W.",'[1]Raw Data - S-19'!$A$9:$L$135,12,FALSE)</f>
        <v>50</v>
      </c>
      <c r="K81" s="14"/>
    </row>
    <row r="82" spans="1:11" x14ac:dyDescent="0.2">
      <c r="A82" s="1" t="s">
        <v>75</v>
      </c>
      <c r="B82" s="14">
        <f>VLOOKUP("Nebraska",'[1]Raw Data - S-19'!$A$9:$L$135,2,FALSE)</f>
        <v>0</v>
      </c>
      <c r="C82" s="14"/>
      <c r="D82" s="14">
        <f>VLOOKUP("Nebraska",'[1]Raw Data - S-19'!$A$9:$L$135,3,FALSE)</f>
        <v>5</v>
      </c>
      <c r="E82" s="14"/>
      <c r="F82" s="14">
        <f>VLOOKUP("Nebraska",'[1]Raw Data - S-19'!$A$9:$L$135,7,FALSE)</f>
        <v>5</v>
      </c>
      <c r="G82" s="14"/>
      <c r="H82" s="14">
        <f>VLOOKUP("Nebraska",'[1]Raw Data - S-19'!$A$9:$L$135,8,FALSE)</f>
        <v>772</v>
      </c>
      <c r="I82" s="14"/>
      <c r="J82" s="14" t="str">
        <f>VLOOKUP("Nebraska",'[1]Raw Data - S-19'!$A$9:$L$135,12,FALSE)</f>
        <v>-</v>
      </c>
      <c r="K82" s="14"/>
    </row>
    <row r="83" spans="1:11" x14ac:dyDescent="0.2">
      <c r="A83" s="1" t="s">
        <v>76</v>
      </c>
      <c r="B83" s="14">
        <f>VLOOKUP("North Dakota",'[1]Raw Data - S-19'!$A$9:$L$135,2,FALSE)</f>
        <v>0</v>
      </c>
      <c r="C83" s="14"/>
      <c r="D83" s="14">
        <f>VLOOKUP("North Dakota",'[1]Raw Data - S-19'!$A$9:$L$135,3,FALSE)</f>
        <v>2</v>
      </c>
      <c r="E83" s="14"/>
      <c r="F83" s="14">
        <f>VLOOKUP("North Dakota",'[1]Raw Data - S-19'!$A$9:$L$135,7,FALSE)</f>
        <v>0</v>
      </c>
      <c r="G83" s="14"/>
      <c r="H83" s="14">
        <f>VLOOKUP("North Dakota",'[1]Raw Data - S-19'!$A$9:$L$135,8,FALSE)</f>
        <v>436</v>
      </c>
      <c r="I83" s="14"/>
      <c r="J83" s="14">
        <f>VLOOKUP("North Dakota",'[1]Raw Data - S-19'!$A$9:$L$135,12,FALSE)</f>
        <v>0</v>
      </c>
      <c r="K83" s="14"/>
    </row>
    <row r="84" spans="1:11" x14ac:dyDescent="0.2">
      <c r="A84" s="1" t="s">
        <v>77</v>
      </c>
      <c r="B84" s="14">
        <f>VLOOKUP("South Dakota",'[1]Raw Data - S-19'!$A$9:$L$135,2,FALSE)</f>
        <v>0</v>
      </c>
      <c r="C84" s="14"/>
      <c r="D84" s="14">
        <f>VLOOKUP("South Dakota",'[1]Raw Data - S-19'!$A$9:$L$135,3,FALSE)</f>
        <v>1</v>
      </c>
      <c r="E84" s="14"/>
      <c r="F84" s="14">
        <f>VLOOKUP("South Dakota",'[1]Raw Data - S-19'!$A$9:$L$135,7,FALSE)</f>
        <v>0</v>
      </c>
      <c r="G84" s="14"/>
      <c r="H84" s="14">
        <f>VLOOKUP("South Dakota",'[1]Raw Data - S-19'!$A$9:$L$135,8,FALSE)</f>
        <v>534</v>
      </c>
      <c r="I84" s="14"/>
      <c r="J84" s="14">
        <f>VLOOKUP("South Dakota",'[1]Raw Data - S-19'!$A$9:$L$135,12,FALSE)</f>
        <v>0</v>
      </c>
      <c r="K84" s="14"/>
    </row>
    <row r="85" spans="1:11" ht="13.5" customHeight="1" x14ac:dyDescent="0.2"/>
    <row r="86" spans="1:11" ht="13.5" customHeight="1" x14ac:dyDescent="0.25">
      <c r="A86" s="2" t="str">
        <f>"Table S-19. (September 30, "&amp;RIGHT('[1]Raw Data - S-19'!$G$1,4)&amp;"—Continued)"</f>
        <v>Table S-19. (September 30, 2023—Continued)</v>
      </c>
    </row>
    <row r="87" spans="1:11" ht="13.5" customHeight="1" x14ac:dyDescent="0.2"/>
    <row r="88" spans="1:11" ht="18" customHeight="1" x14ac:dyDescent="0.2">
      <c r="A88" s="3" t="s">
        <v>2</v>
      </c>
      <c r="B88" s="4" t="str">
        <f>"12 Months Ending September 30, "&amp;RIGHT('[1]Raw Data - S-19'!$G$1,4)</f>
        <v>12 Months Ending September 30, 2023</v>
      </c>
      <c r="C88" s="4"/>
      <c r="D88" s="4"/>
      <c r="E88" s="4"/>
      <c r="F88" s="5" t="str">
        <f>"Cumulative 1968 - "&amp;RIGHT('[1]Raw Data - S-19'!$G$1,4)</f>
        <v>Cumulative 1968 - 2023</v>
      </c>
      <c r="G88" s="4"/>
      <c r="H88" s="4"/>
      <c r="I88" s="4"/>
      <c r="J88" s="6" t="s">
        <v>3</v>
      </c>
      <c r="K88" s="3"/>
    </row>
    <row r="89" spans="1:11" ht="18" customHeight="1" x14ac:dyDescent="0.2">
      <c r="A89" s="7"/>
      <c r="B89" s="8" t="s">
        <v>4</v>
      </c>
      <c r="C89" s="9"/>
      <c r="D89" s="8" t="s">
        <v>5</v>
      </c>
      <c r="E89" s="10"/>
      <c r="F89" s="8" t="s">
        <v>4</v>
      </c>
      <c r="G89" s="9"/>
      <c r="H89" s="8" t="s">
        <v>5</v>
      </c>
      <c r="I89" s="10"/>
      <c r="J89" s="11"/>
      <c r="K89" s="7"/>
    </row>
    <row r="90" spans="1:11" ht="13.5" customHeight="1" x14ac:dyDescent="0.2">
      <c r="A90" s="12" t="s">
        <v>78</v>
      </c>
      <c r="B90" s="13">
        <f>IF(VLOOKUP("9TH",'[1]Raw Data - S-19'!$A$9:$L$135,2,FALSE)-SUM(B91:B105)=0,VLOOKUP("9TH",'[1]Raw Data - S-19'!$A$9:$L$135,2,FALSE),"ERROR")</f>
        <v>670</v>
      </c>
      <c r="C90" s="13"/>
      <c r="D90" s="13">
        <f>IF(VLOOKUP("9TH",'[1]Raw Data - S-19'!$A$9:$L$135,3,FALSE)-SUM(D91:D105)=0,VLOOKUP("9TH",'[1]Raw Data - S-19'!$A$9:$L$135,3,FALSE),"ERROR")</f>
        <v>381</v>
      </c>
      <c r="E90" s="13"/>
      <c r="F90" s="13">
        <f>IF(VLOOKUP("9TH",'[1]Raw Data - S-19'!$A$9:$L$135,7,FALSE)-SUM(F91:F105)=0,VLOOKUP("9TH",'[1]Raw Data - S-19'!$A$9:$L$135,7,FALSE),"ERROR")</f>
        <v>16157</v>
      </c>
      <c r="G90" s="13"/>
      <c r="H90" s="13">
        <f>IF(VLOOKUP("9TH",'[1]Raw Data - S-19'!$A$9:$L$135,8,FALSE)-SUM(H91:H105)=0,VLOOKUP("9TH",'[1]Raw Data - S-19'!$A$9:$L$135,8,FALSE),"ERROR")</f>
        <v>27575</v>
      </c>
      <c r="I90" s="13"/>
      <c r="J90" s="13">
        <f>IF(VLOOKUP("9TH",'[1]Raw Data - S-19'!$A$9:$L$135,12,FALSE)-SUM(J91:J105)=0,VLOOKUP("9TH",'[1]Raw Data - S-19'!$A$9:$L$135,12,FALSE),"ERROR")</f>
        <v>10973</v>
      </c>
      <c r="K90" s="13"/>
    </row>
    <row r="91" spans="1:11" x14ac:dyDescent="0.2">
      <c r="A91" s="1" t="s">
        <v>79</v>
      </c>
      <c r="B91" s="14">
        <f>VLOOKUP("Alaska",'[1]Raw Data - S-19'!$A$9:$L$135,2,FALSE)</f>
        <v>0</v>
      </c>
      <c r="C91" s="14"/>
      <c r="D91" s="14">
        <f>VLOOKUP("Alaska",'[1]Raw Data - S-19'!$A$9:$L$135,3,FALSE)</f>
        <v>0</v>
      </c>
      <c r="E91" s="14"/>
      <c r="F91" s="14">
        <f>VLOOKUP("Alaska",'[1]Raw Data - S-19'!$A$9:$L$135,7,FALSE)</f>
        <v>0</v>
      </c>
      <c r="G91" s="14"/>
      <c r="H91" s="14">
        <f>VLOOKUP("Alaska",'[1]Raw Data - S-19'!$A$9:$L$135,8,FALSE)</f>
        <v>324</v>
      </c>
      <c r="I91" s="14"/>
      <c r="J91" s="14">
        <f>VLOOKUP("Alaska",'[1]Raw Data - S-19'!$A$9:$L$135,12,FALSE)</f>
        <v>0</v>
      </c>
      <c r="K91" s="14"/>
    </row>
    <row r="92" spans="1:11" x14ac:dyDescent="0.2">
      <c r="A92" s="1" t="s">
        <v>80</v>
      </c>
      <c r="B92" s="14">
        <f>VLOOKUP("Arizona",'[1]Raw Data - S-19'!$A$9:$L$135,2,FALSE)</f>
        <v>53</v>
      </c>
      <c r="C92" s="14"/>
      <c r="D92" s="14">
        <f>VLOOKUP("Arizona",'[1]Raw Data - S-19'!$A$9:$L$135,3,FALSE)</f>
        <v>17</v>
      </c>
      <c r="E92" s="14"/>
      <c r="F92" s="14">
        <f>VLOOKUP("Arizona",'[1]Raw Data - S-19'!$A$9:$L$135,7,FALSE)</f>
        <v>609</v>
      </c>
      <c r="G92" s="14"/>
      <c r="H92" s="14">
        <f>VLOOKUP("Arizona",'[1]Raw Data - S-19'!$A$9:$L$135,8,FALSE)</f>
        <v>2095</v>
      </c>
      <c r="I92" s="14"/>
      <c r="J92" s="14">
        <f>VLOOKUP("Arizona",'[1]Raw Data - S-19'!$A$9:$L$135,12,FALSE)</f>
        <v>56</v>
      </c>
      <c r="K92" s="14"/>
    </row>
    <row r="93" spans="1:11" x14ac:dyDescent="0.2">
      <c r="A93" s="1" t="s">
        <v>81</v>
      </c>
      <c r="B93" s="14">
        <f>VLOOKUP("California, N.",'[1]Raw Data - S-19'!$A$9:$L$135,2,FALSE)</f>
        <v>557</v>
      </c>
      <c r="C93" s="14"/>
      <c r="D93" s="14">
        <f>VLOOKUP("California, N.",'[1]Raw Data - S-19'!$A$9:$L$135,3,FALSE)</f>
        <v>62</v>
      </c>
      <c r="E93" s="14"/>
      <c r="F93" s="14">
        <f>VLOOKUP("California, N.",'[1]Raw Data - S-19'!$A$9:$L$135,7,FALSE)</f>
        <v>9649</v>
      </c>
      <c r="G93" s="14"/>
      <c r="H93" s="14">
        <f>VLOOKUP("California, N.",'[1]Raw Data - S-19'!$A$9:$L$135,8,FALSE)</f>
        <v>5502</v>
      </c>
      <c r="I93" s="14"/>
      <c r="J93" s="14">
        <f>VLOOKUP("California, N.",'[1]Raw Data - S-19'!$A$9:$L$135,12,FALSE)</f>
        <v>10512</v>
      </c>
      <c r="K93" s="14"/>
    </row>
    <row r="94" spans="1:11" x14ac:dyDescent="0.2">
      <c r="A94" s="1" t="s">
        <v>82</v>
      </c>
      <c r="B94" s="14">
        <f>VLOOKUP("California, E.",'[1]Raw Data - S-19'!$A$9:$L$135,2,FALSE)</f>
        <v>0</v>
      </c>
      <c r="C94" s="14"/>
      <c r="D94" s="14">
        <f>VLOOKUP("California, E.",'[1]Raw Data - S-19'!$A$9:$L$135,3,FALSE)</f>
        <v>30</v>
      </c>
      <c r="E94" s="14"/>
      <c r="F94" s="14">
        <f>VLOOKUP("California, E.",'[1]Raw Data - S-19'!$A$9:$L$135,7,FALSE)</f>
        <v>12</v>
      </c>
      <c r="G94" s="14"/>
      <c r="H94" s="14">
        <f>VLOOKUP("California, E.",'[1]Raw Data - S-19'!$A$9:$L$135,8,FALSE)</f>
        <v>2024</v>
      </c>
      <c r="I94" s="14"/>
      <c r="J94" s="14">
        <f>VLOOKUP("California, E.",'[1]Raw Data - S-19'!$A$9:$L$135,12,FALSE)</f>
        <v>0</v>
      </c>
      <c r="K94" s="14"/>
    </row>
    <row r="95" spans="1:11" x14ac:dyDescent="0.2">
      <c r="A95" s="1" t="s">
        <v>83</v>
      </c>
      <c r="B95" s="14">
        <f>VLOOKUP("California, C.",'[1]Raw Data - S-19'!$A$9:$L$135,2,FALSE)</f>
        <v>57</v>
      </c>
      <c r="C95" s="14"/>
      <c r="D95" s="14">
        <f>VLOOKUP("California, C.",'[1]Raw Data - S-19'!$A$9:$L$135,3,FALSE)</f>
        <v>164</v>
      </c>
      <c r="E95" s="14"/>
      <c r="F95" s="14">
        <f>VLOOKUP("California, C.",'[1]Raw Data - S-19'!$A$9:$L$135,7,FALSE)</f>
        <v>2454</v>
      </c>
      <c r="G95" s="14"/>
      <c r="H95" s="14">
        <f>VLOOKUP("California, C.",'[1]Raw Data - S-19'!$A$9:$L$135,8,FALSE)</f>
        <v>8397</v>
      </c>
      <c r="I95" s="14"/>
      <c r="J95" s="14">
        <f>VLOOKUP("California, C.",'[1]Raw Data - S-19'!$A$9:$L$135,12,FALSE)</f>
        <v>310</v>
      </c>
      <c r="K95" s="14"/>
    </row>
    <row r="96" spans="1:11" x14ac:dyDescent="0.2">
      <c r="A96" s="1" t="s">
        <v>84</v>
      </c>
      <c r="B96" s="14">
        <f>VLOOKUP("California, S.",'[1]Raw Data - S-19'!$A$9:$L$135,2,FALSE)</f>
        <v>3</v>
      </c>
      <c r="C96" s="14"/>
      <c r="D96" s="14">
        <f>VLOOKUP("California, S.",'[1]Raw Data - S-19'!$A$9:$L$135,3,FALSE)</f>
        <v>12</v>
      </c>
      <c r="E96" s="14"/>
      <c r="F96" s="14">
        <f>VLOOKUP("California, S.",'[1]Raw Data - S-19'!$A$9:$L$135,7,FALSE)</f>
        <v>975</v>
      </c>
      <c r="G96" s="14"/>
      <c r="H96" s="14">
        <f>VLOOKUP("California, S.",'[1]Raw Data - S-19'!$A$9:$L$135,8,FALSE)</f>
        <v>2865</v>
      </c>
      <c r="I96" s="14"/>
      <c r="J96" s="14">
        <f>VLOOKUP("California, S.",'[1]Raw Data - S-19'!$A$9:$L$135,12,FALSE)</f>
        <v>95</v>
      </c>
      <c r="K96" s="14"/>
    </row>
    <row r="97" spans="1:11" x14ac:dyDescent="0.2">
      <c r="A97" s="1" t="s">
        <v>85</v>
      </c>
      <c r="B97" s="14">
        <f>VLOOKUP("Hawaii",'[1]Raw Data - S-19'!$A$9:$L$135,2,FALSE)</f>
        <v>0</v>
      </c>
      <c r="C97" s="14"/>
      <c r="D97" s="14">
        <f>VLOOKUP("Hawaii",'[1]Raw Data - S-19'!$A$9:$L$135,3,FALSE)</f>
        <v>0</v>
      </c>
      <c r="E97" s="14"/>
      <c r="F97" s="14">
        <f>VLOOKUP("Hawaii",'[1]Raw Data - S-19'!$A$9:$L$135,7,FALSE)</f>
        <v>14</v>
      </c>
      <c r="G97" s="14"/>
      <c r="H97" s="14">
        <f>VLOOKUP("Hawaii",'[1]Raw Data - S-19'!$A$9:$L$135,8,FALSE)</f>
        <v>652</v>
      </c>
      <c r="I97" s="14"/>
      <c r="J97" s="14">
        <f>VLOOKUP("Hawaii",'[1]Raw Data - S-19'!$A$9:$L$135,12,FALSE)</f>
        <v>0</v>
      </c>
      <c r="K97" s="14"/>
    </row>
    <row r="98" spans="1:11" x14ac:dyDescent="0.2">
      <c r="A98" s="1" t="s">
        <v>86</v>
      </c>
      <c r="B98" s="14">
        <f>VLOOKUP("Idaho",'[1]Raw Data - S-19'!$A$9:$L$135,2,FALSE)</f>
        <v>0</v>
      </c>
      <c r="C98" s="14"/>
      <c r="D98" s="14">
        <f>VLOOKUP("Idaho",'[1]Raw Data - S-19'!$A$9:$L$135,3,FALSE)</f>
        <v>5</v>
      </c>
      <c r="E98" s="14"/>
      <c r="F98" s="14">
        <f>VLOOKUP("Idaho",'[1]Raw Data - S-19'!$A$9:$L$135,7,FALSE)</f>
        <v>13</v>
      </c>
      <c r="G98" s="14"/>
      <c r="H98" s="14">
        <f>VLOOKUP("Idaho",'[1]Raw Data - S-19'!$A$9:$L$135,8,FALSE)</f>
        <v>570</v>
      </c>
      <c r="I98" s="14"/>
      <c r="J98" s="14">
        <f>VLOOKUP("Idaho",'[1]Raw Data - S-19'!$A$9:$L$135,12,FALSE)</f>
        <v>0</v>
      </c>
      <c r="K98" s="14"/>
    </row>
    <row r="99" spans="1:11" x14ac:dyDescent="0.2">
      <c r="A99" s="1" t="s">
        <v>87</v>
      </c>
      <c r="B99" s="14">
        <f>VLOOKUP("Montana",'[1]Raw Data - S-19'!$A$9:$L$135,2,FALSE)</f>
        <v>0</v>
      </c>
      <c r="C99" s="14"/>
      <c r="D99" s="14">
        <f>VLOOKUP("Montana",'[1]Raw Data - S-19'!$A$9:$L$135,3,FALSE)</f>
        <v>6</v>
      </c>
      <c r="E99" s="14"/>
      <c r="F99" s="14">
        <f>VLOOKUP("Montana",'[1]Raw Data - S-19'!$A$9:$L$135,7,FALSE)</f>
        <v>4</v>
      </c>
      <c r="G99" s="14"/>
      <c r="H99" s="14">
        <f>VLOOKUP("Montana",'[1]Raw Data - S-19'!$A$9:$L$135,8,FALSE)</f>
        <v>479</v>
      </c>
      <c r="I99" s="14"/>
      <c r="J99" s="14">
        <f>VLOOKUP("Montana",'[1]Raw Data - S-19'!$A$9:$L$135,12,FALSE)</f>
        <v>0</v>
      </c>
      <c r="K99" s="14"/>
    </row>
    <row r="100" spans="1:11" x14ac:dyDescent="0.2">
      <c r="A100" s="1" t="s">
        <v>88</v>
      </c>
      <c r="B100" s="14">
        <f>VLOOKUP("Nevada",'[1]Raw Data - S-19'!$A$9:$L$135,2,FALSE)</f>
        <v>0</v>
      </c>
      <c r="C100" s="14"/>
      <c r="D100" s="14">
        <f>VLOOKUP("Nevada",'[1]Raw Data - S-19'!$A$9:$L$135,3,FALSE)</f>
        <v>13</v>
      </c>
      <c r="E100" s="14"/>
      <c r="F100" s="14">
        <f>VLOOKUP("Nevada",'[1]Raw Data - S-19'!$A$9:$L$135,7,FALSE)</f>
        <v>219</v>
      </c>
      <c r="G100" s="14"/>
      <c r="H100" s="14">
        <f>VLOOKUP("Nevada",'[1]Raw Data - S-19'!$A$9:$L$135,8,FALSE)</f>
        <v>1294</v>
      </c>
      <c r="I100" s="14"/>
      <c r="J100" s="14">
        <f>VLOOKUP("Nevada",'[1]Raw Data - S-19'!$A$9:$L$135,12,FALSE)</f>
        <v>0</v>
      </c>
      <c r="K100" s="14"/>
    </row>
    <row r="101" spans="1:11" x14ac:dyDescent="0.2">
      <c r="A101" s="1" t="s">
        <v>89</v>
      </c>
      <c r="B101" s="14">
        <f>VLOOKUP("Oregon",'[1]Raw Data - S-19'!$A$9:$L$135,2,FALSE)</f>
        <v>0</v>
      </c>
      <c r="C101" s="14"/>
      <c r="D101" s="14">
        <f>VLOOKUP("Oregon",'[1]Raw Data - S-19'!$A$9:$L$135,3,FALSE)</f>
        <v>26</v>
      </c>
      <c r="E101" s="14"/>
      <c r="F101" s="14">
        <f>VLOOKUP("Oregon",'[1]Raw Data - S-19'!$A$9:$L$135,7,FALSE)</f>
        <v>57</v>
      </c>
      <c r="G101" s="14"/>
      <c r="H101" s="14">
        <f>VLOOKUP("Oregon",'[1]Raw Data - S-19'!$A$9:$L$135,8,FALSE)</f>
        <v>1324</v>
      </c>
      <c r="I101" s="14"/>
      <c r="J101" s="14">
        <f>VLOOKUP("Oregon",'[1]Raw Data - S-19'!$A$9:$L$135,12,FALSE)</f>
        <v>0</v>
      </c>
      <c r="K101" s="14"/>
    </row>
    <row r="102" spans="1:11" x14ac:dyDescent="0.2">
      <c r="A102" s="1" t="s">
        <v>90</v>
      </c>
      <c r="B102" s="14">
        <f>VLOOKUP("Washington, E.",'[1]Raw Data - S-19'!$A$9:$L$135,2,FALSE)</f>
        <v>0</v>
      </c>
      <c r="C102" s="14"/>
      <c r="D102" s="14">
        <f>VLOOKUP("Washington, E.",'[1]Raw Data - S-19'!$A$9:$L$135,3,FALSE)</f>
        <v>5</v>
      </c>
      <c r="E102" s="14"/>
      <c r="F102" s="14">
        <f>VLOOKUP("Washington, E.",'[1]Raw Data - S-19'!$A$9:$L$135,7,FALSE)</f>
        <v>4</v>
      </c>
      <c r="G102" s="14"/>
      <c r="H102" s="14">
        <f>VLOOKUP("Washington, E.",'[1]Raw Data - S-19'!$A$9:$L$135,8,FALSE)</f>
        <v>412</v>
      </c>
      <c r="I102" s="14"/>
      <c r="J102" s="14">
        <f>VLOOKUP("Washington, E.",'[1]Raw Data - S-19'!$A$9:$L$135,12,FALSE)</f>
        <v>0</v>
      </c>
      <c r="K102" s="14"/>
    </row>
    <row r="103" spans="1:11" x14ac:dyDescent="0.2">
      <c r="A103" s="1" t="s">
        <v>91</v>
      </c>
      <c r="B103" s="14">
        <f>VLOOKUP("Washington, W",'[1]Raw Data - S-19'!$A$9:$L$135,2,FALSE)</f>
        <v>0</v>
      </c>
      <c r="C103" s="14"/>
      <c r="D103" s="14">
        <f>VLOOKUP("Washington, W",'[1]Raw Data - S-19'!$A$9:$L$135,3,FALSE)</f>
        <v>41</v>
      </c>
      <c r="E103" s="14"/>
      <c r="F103" s="14">
        <f>VLOOKUP("Washington, W",'[1]Raw Data - S-19'!$A$9:$L$135,7,FALSE)</f>
        <v>2147</v>
      </c>
      <c r="G103" s="14"/>
      <c r="H103" s="14">
        <f>VLOOKUP("Washington, W",'[1]Raw Data - S-19'!$A$9:$L$135,8,FALSE)</f>
        <v>1593</v>
      </c>
      <c r="I103" s="14"/>
      <c r="J103" s="14">
        <f>VLOOKUP("Washington, W",'[1]Raw Data - S-19'!$A$9:$L$135,12,FALSE)</f>
        <v>0</v>
      </c>
      <c r="K103" s="14"/>
    </row>
    <row r="104" spans="1:11" x14ac:dyDescent="0.2">
      <c r="A104" s="1" t="s">
        <v>92</v>
      </c>
      <c r="B104" s="14">
        <f>VLOOKUP("Guam",'[1]Raw Data - S-19'!$A$9:$L$135,2,FALSE)</f>
        <v>0</v>
      </c>
      <c r="C104" s="14"/>
      <c r="D104" s="14">
        <f>VLOOKUP("Guam",'[1]Raw Data - S-19'!$A$9:$L$135,3,FALSE)</f>
        <v>0</v>
      </c>
      <c r="E104" s="14"/>
      <c r="F104" s="14">
        <f>VLOOKUP("Guam",'[1]Raw Data - S-19'!$A$9:$L$135,7,FALSE)</f>
        <v>0</v>
      </c>
      <c r="G104" s="14"/>
      <c r="H104" s="14">
        <f>VLOOKUP("Guam",'[1]Raw Data - S-19'!$A$9:$L$135,8,FALSE)</f>
        <v>40</v>
      </c>
      <c r="I104" s="14"/>
      <c r="J104" s="14">
        <f>VLOOKUP("Guam",'[1]Raw Data - S-19'!$A$9:$L$135,12,FALSE)</f>
        <v>0</v>
      </c>
      <c r="K104" s="14"/>
    </row>
    <row r="105" spans="1:11" x14ac:dyDescent="0.2">
      <c r="A105" s="1" t="s">
        <v>93</v>
      </c>
      <c r="B105" s="14">
        <f>VLOOKUP("Northern Mariana Islands",'[1]Raw Data - S-19'!$A$9:$L$135,2,FALSE)</f>
        <v>0</v>
      </c>
      <c r="C105" s="14"/>
      <c r="D105" s="14">
        <f>VLOOKUP("Northern Mariana Islands",'[1]Raw Data - S-19'!$A$9:$L$135,3,FALSE)</f>
        <v>0</v>
      </c>
      <c r="E105" s="14"/>
      <c r="F105" s="14">
        <f>VLOOKUP("Northern Mariana Islands",'[1]Raw Data - S-19'!$A$9:$L$135,7,FALSE)</f>
        <v>0</v>
      </c>
      <c r="G105" s="14"/>
      <c r="H105" s="14">
        <f>VLOOKUP("Northern Mariana Islands",'[1]Raw Data - S-19'!$A$9:$L$135,8,FALSE)</f>
        <v>4</v>
      </c>
      <c r="I105" s="14"/>
      <c r="J105" s="14">
        <f>VLOOKUP("Northern Mariana Islands",'[1]Raw Data - S-19'!$A$9:$L$135,12,FALSE)</f>
        <v>0</v>
      </c>
      <c r="K105" s="14"/>
    </row>
    <row r="106" spans="1:11" ht="16.5" customHeight="1" x14ac:dyDescent="0.2">
      <c r="A106" s="12" t="s">
        <v>94</v>
      </c>
      <c r="B106" s="13">
        <f>IF(VLOOKUP("10TH",'[1]Raw Data - S-19'!$A$9:$L$135,2,FALSE)-SUM(B107:B114)=0,VLOOKUP("10TH",'[1]Raw Data - S-19'!$A$9:$L$135,2,FALSE),"ERROR")</f>
        <v>0</v>
      </c>
      <c r="C106" s="13"/>
      <c r="D106" s="13">
        <f>IF(VLOOKUP("10TH",'[1]Raw Data - S-19'!$A$9:$L$135,3,FALSE)-SUM(D107:D114)=0,VLOOKUP("10TH",'[1]Raw Data - S-19'!$A$9:$L$135,3,FALSE),"ERROR")</f>
        <v>60</v>
      </c>
      <c r="E106" s="13"/>
      <c r="F106" s="13">
        <f>IF(VLOOKUP("10TH",'[1]Raw Data - S-19'!$A$9:$L$135,7,FALSE)-SUM(F107:F114)=0,VLOOKUP("10TH",'[1]Raw Data - S-19'!$A$9:$L$135,7,FALSE),"ERROR")</f>
        <v>4525</v>
      </c>
      <c r="G106" s="13"/>
      <c r="H106" s="13">
        <f>IF(VLOOKUP("10TH",'[1]Raw Data - S-19'!$A$9:$L$135,8,FALSE)-SUM(H107:H114)=0,VLOOKUP("10TH",'[1]Raw Data - S-19'!$A$9:$L$135,8,FALSE),"ERROR")</f>
        <v>8558</v>
      </c>
      <c r="I106" s="13"/>
      <c r="J106" s="13">
        <f>IF(VLOOKUP("10TH",'[1]Raw Data - S-19'!$A$9:$L$135,12,FALSE)-SUM(J107:J114)=0,VLOOKUP("10TH",'[1]Raw Data - S-19'!$A$9:$L$135,12,FALSE),"ERROR")</f>
        <v>40</v>
      </c>
      <c r="K106" s="13"/>
    </row>
    <row r="107" spans="1:11" x14ac:dyDescent="0.2">
      <c r="A107" s="1" t="s">
        <v>95</v>
      </c>
      <c r="B107" s="14">
        <f>VLOOKUP("Colorado",'[1]Raw Data - S-19'!$A$9:$L$135,2,FALSE)</f>
        <v>0</v>
      </c>
      <c r="C107" s="14"/>
      <c r="D107" s="14">
        <f>VLOOKUP("Colorado",'[1]Raw Data - S-19'!$A$9:$L$135,3,FALSE)</f>
        <v>26</v>
      </c>
      <c r="E107" s="14"/>
      <c r="F107" s="14">
        <f>VLOOKUP("Colorado",'[1]Raw Data - S-19'!$A$9:$L$135,7,FALSE)</f>
        <v>141</v>
      </c>
      <c r="G107" s="14"/>
      <c r="H107" s="14">
        <f>VLOOKUP("Colorado",'[1]Raw Data - S-19'!$A$9:$L$135,8,FALSE)</f>
        <v>1793</v>
      </c>
      <c r="I107" s="14"/>
      <c r="J107" s="14">
        <f>VLOOKUP("Colorado",'[1]Raw Data - S-19'!$A$9:$L$135,12,FALSE)</f>
        <v>0</v>
      </c>
      <c r="K107" s="14"/>
    </row>
    <row r="108" spans="1:11" x14ac:dyDescent="0.2">
      <c r="A108" s="1" t="s">
        <v>96</v>
      </c>
      <c r="B108" s="14">
        <f>VLOOKUP("Kansas",'[1]Raw Data - S-19'!$A$9:$L$135,2,FALSE)</f>
        <v>0</v>
      </c>
      <c r="C108" s="14"/>
      <c r="D108" s="14">
        <f>VLOOKUP("Kansas",'[1]Raw Data - S-19'!$A$9:$L$135,3,FALSE)</f>
        <v>7</v>
      </c>
      <c r="E108" s="14"/>
      <c r="F108" s="14">
        <f>VLOOKUP("Kansas",'[1]Raw Data - S-19'!$A$9:$L$135,7,FALSE)</f>
        <v>3869</v>
      </c>
      <c r="G108" s="14"/>
      <c r="H108" s="14">
        <f>VLOOKUP("Kansas",'[1]Raw Data - S-19'!$A$9:$L$135,8,FALSE)</f>
        <v>1228</v>
      </c>
      <c r="I108" s="14"/>
      <c r="J108" s="14">
        <f>VLOOKUP("Kansas",'[1]Raw Data - S-19'!$A$9:$L$135,12,FALSE)</f>
        <v>1</v>
      </c>
      <c r="K108" s="14"/>
    </row>
    <row r="109" spans="1:11" x14ac:dyDescent="0.2">
      <c r="A109" s="1" t="s">
        <v>97</v>
      </c>
      <c r="B109" s="14">
        <f>VLOOKUP("New Mexico",'[1]Raw Data - S-19'!$A$9:$L$135,2,FALSE)</f>
        <v>0</v>
      </c>
      <c r="C109" s="14"/>
      <c r="D109" s="14">
        <f>VLOOKUP("New Mexico",'[1]Raw Data - S-19'!$A$9:$L$135,3,FALSE)</f>
        <v>11</v>
      </c>
      <c r="E109" s="14"/>
      <c r="F109" s="14">
        <f>VLOOKUP("New Mexico",'[1]Raw Data - S-19'!$A$9:$L$135,7,FALSE)</f>
        <v>19</v>
      </c>
      <c r="G109" s="14"/>
      <c r="H109" s="14">
        <f>VLOOKUP("New Mexico",'[1]Raw Data - S-19'!$A$9:$L$135,8,FALSE)</f>
        <v>1111</v>
      </c>
      <c r="I109" s="14"/>
      <c r="J109" s="14">
        <f>VLOOKUP("New Mexico",'[1]Raw Data - S-19'!$A$9:$L$135,12,FALSE)</f>
        <v>19</v>
      </c>
      <c r="K109" s="14"/>
    </row>
    <row r="110" spans="1:11" x14ac:dyDescent="0.2">
      <c r="A110" s="1" t="s">
        <v>98</v>
      </c>
      <c r="B110" s="14">
        <f>VLOOKUP("Oklahoma, N.",'[1]Raw Data - S-19'!$A$9:$L$135,2,FALSE)</f>
        <v>0</v>
      </c>
      <c r="C110" s="14"/>
      <c r="D110" s="14">
        <f>VLOOKUP("Oklahoma, N.",'[1]Raw Data - S-19'!$A$9:$L$135,3,FALSE)</f>
        <v>1</v>
      </c>
      <c r="E110" s="14"/>
      <c r="F110" s="14">
        <f>VLOOKUP("Oklahoma, N.",'[1]Raw Data - S-19'!$A$9:$L$135,7,FALSE)</f>
        <v>32</v>
      </c>
      <c r="G110" s="14"/>
      <c r="H110" s="14">
        <f>VLOOKUP("Oklahoma, N.",'[1]Raw Data - S-19'!$A$9:$L$135,8,FALSE)</f>
        <v>1132</v>
      </c>
      <c r="I110" s="14"/>
      <c r="J110" s="14">
        <f>VLOOKUP("Oklahoma, N.",'[1]Raw Data - S-19'!$A$9:$L$135,12,FALSE)</f>
        <v>15</v>
      </c>
      <c r="K110" s="14"/>
    </row>
    <row r="111" spans="1:11" x14ac:dyDescent="0.2">
      <c r="A111" s="1" t="s">
        <v>99</v>
      </c>
      <c r="B111" s="14">
        <f>VLOOKUP("Oklahoma, E.",'[1]Raw Data - S-19'!$A$9:$L$135,2,FALSE)</f>
        <v>0</v>
      </c>
      <c r="C111" s="14"/>
      <c r="D111" s="14">
        <f>VLOOKUP("Oklahoma, E.",'[1]Raw Data - S-19'!$A$9:$L$135,3,FALSE)</f>
        <v>1</v>
      </c>
      <c r="E111" s="14"/>
      <c r="F111" s="14">
        <f>VLOOKUP("Oklahoma, E.",'[1]Raw Data - S-19'!$A$9:$L$135,7,FALSE)</f>
        <v>11</v>
      </c>
      <c r="G111" s="14"/>
      <c r="H111" s="14">
        <f>VLOOKUP("Oklahoma, E.",'[1]Raw Data - S-19'!$A$9:$L$135,8,FALSE)</f>
        <v>311</v>
      </c>
      <c r="I111" s="14"/>
      <c r="J111" s="14">
        <f>VLOOKUP("Oklahoma, E.",'[1]Raw Data - S-19'!$A$9:$L$135,12,FALSE)</f>
        <v>5</v>
      </c>
      <c r="K111" s="14"/>
    </row>
    <row r="112" spans="1:11" x14ac:dyDescent="0.2">
      <c r="A112" s="1" t="s">
        <v>100</v>
      </c>
      <c r="B112" s="14">
        <f>VLOOKUP("Oklahoma, W.",'[1]Raw Data - S-19'!$A$9:$L$135,2,FALSE)</f>
        <v>0</v>
      </c>
      <c r="C112" s="14"/>
      <c r="D112" s="14">
        <f>VLOOKUP("Oklahoma, W.",'[1]Raw Data - S-19'!$A$9:$L$135,3,FALSE)</f>
        <v>5</v>
      </c>
      <c r="E112" s="14"/>
      <c r="F112" s="14">
        <f>VLOOKUP("Oklahoma, W.",'[1]Raw Data - S-19'!$A$9:$L$135,7,FALSE)</f>
        <v>234</v>
      </c>
      <c r="G112" s="14"/>
      <c r="H112" s="14">
        <f>VLOOKUP("Oklahoma, W.",'[1]Raw Data - S-19'!$A$9:$L$135,8,FALSE)</f>
        <v>1315</v>
      </c>
      <c r="I112" s="14"/>
      <c r="J112" s="14">
        <f>VLOOKUP("Oklahoma, W.",'[1]Raw Data - S-19'!$A$9:$L$135,12,FALSE)</f>
        <v>0</v>
      </c>
      <c r="K112" s="14"/>
    </row>
    <row r="113" spans="1:11" x14ac:dyDescent="0.2">
      <c r="A113" s="1" t="s">
        <v>101</v>
      </c>
      <c r="B113" s="14">
        <f>VLOOKUP("Utah",'[1]Raw Data - S-19'!$A$9:$L$135,2,FALSE)</f>
        <v>0</v>
      </c>
      <c r="C113" s="14"/>
      <c r="D113" s="14">
        <f>VLOOKUP("Utah",'[1]Raw Data - S-19'!$A$9:$L$135,3,FALSE)</f>
        <v>7</v>
      </c>
      <c r="E113" s="14"/>
      <c r="F113" s="14">
        <f>VLOOKUP("Utah",'[1]Raw Data - S-19'!$A$9:$L$135,7,FALSE)</f>
        <v>35</v>
      </c>
      <c r="G113" s="14"/>
      <c r="H113" s="14">
        <f>VLOOKUP("Utah",'[1]Raw Data - S-19'!$A$9:$L$135,8,FALSE)</f>
        <v>1495</v>
      </c>
      <c r="I113" s="14"/>
      <c r="J113" s="14">
        <f>VLOOKUP("Utah",'[1]Raw Data - S-19'!$A$9:$L$135,12,FALSE)</f>
        <v>0</v>
      </c>
      <c r="K113" s="14"/>
    </row>
    <row r="114" spans="1:11" x14ac:dyDescent="0.2">
      <c r="A114" s="1" t="s">
        <v>102</v>
      </c>
      <c r="B114" s="14">
        <f>VLOOKUP("Wyoming",'[1]Raw Data - S-19'!$A$9:$L$135,2,FALSE)</f>
        <v>0</v>
      </c>
      <c r="C114" s="14"/>
      <c r="D114" s="14">
        <f>VLOOKUP("Wyoming",'[1]Raw Data - S-19'!$A$9:$L$135,3,FALSE)</f>
        <v>2</v>
      </c>
      <c r="E114" s="14"/>
      <c r="F114" s="14">
        <f>VLOOKUP("Wyoming",'[1]Raw Data - S-19'!$A$9:$L$135,7,FALSE)</f>
        <v>184</v>
      </c>
      <c r="G114" s="14"/>
      <c r="H114" s="14">
        <f>VLOOKUP("Wyoming",'[1]Raw Data - S-19'!$A$9:$L$135,8,FALSE)</f>
        <v>173</v>
      </c>
      <c r="I114" s="14"/>
      <c r="J114" s="14">
        <f>VLOOKUP("Wyoming",'[1]Raw Data - S-19'!$A$9:$L$135,12,FALSE)</f>
        <v>0</v>
      </c>
      <c r="K114" s="14"/>
    </row>
    <row r="115" spans="1:11" ht="16.5" customHeight="1" x14ac:dyDescent="0.2">
      <c r="A115" s="12" t="s">
        <v>103</v>
      </c>
      <c r="B115" s="13">
        <f>IF(VLOOKUP("11TH",'[1]Raw Data - S-19'!$A$9:$L$135,2,FALSE)-SUM(B116:B124)=0,VLOOKUP("11TH",'[1]Raw Data - S-19'!$A$9:$L$135,2,FALSE),"ERROR")</f>
        <v>348</v>
      </c>
      <c r="C115" s="13"/>
      <c r="D115" s="13">
        <f>IF(VLOOKUP("11TH",'[1]Raw Data - S-19'!$A$9:$L$135,3,FALSE)-SUM(D116:D124)=0,VLOOKUP("11TH",'[1]Raw Data - S-19'!$A$9:$L$135,3,FALSE),"ERROR")</f>
        <v>200</v>
      </c>
      <c r="E115" s="13"/>
      <c r="F115" s="13">
        <f>IF(VLOOKUP("11TH",'[1]Raw Data - S-19'!$A$9:$L$135,7,FALSE)-SUM(F116:F124)=0,VLOOKUP("11TH",'[1]Raw Data - S-19'!$A$9:$L$135,7,FALSE),"ERROR")</f>
        <v>35306</v>
      </c>
      <c r="G115" s="13"/>
      <c r="H115" s="13">
        <f>IF(VLOOKUP("11TH",'[1]Raw Data - S-19'!$A$9:$L$135,8,FALSE)-SUM(H116:H124)=0,VLOOKUP("11TH",'[1]Raw Data - S-19'!$A$9:$L$135,8,FALSE),"ERROR")</f>
        <v>21313</v>
      </c>
      <c r="I115" s="13"/>
      <c r="J115" s="13">
        <f>IF(VLOOKUP("11TH",'[1]Raw Data - S-19'!$A$9:$L$135,12,FALSE)-SUM(J116:J124)=0,VLOOKUP("11TH",'[1]Raw Data - S-19'!$A$9:$L$135,12,FALSE),"ERROR")</f>
        <v>260281</v>
      </c>
      <c r="K115" s="13"/>
    </row>
    <row r="116" spans="1:11" x14ac:dyDescent="0.2">
      <c r="A116" s="1" t="s">
        <v>104</v>
      </c>
      <c r="B116" s="14">
        <f>VLOOKUP("Alabama, N.",'[1]Raw Data - S-19'!$A$9:$L$135,2,FALSE)</f>
        <v>1</v>
      </c>
      <c r="C116" s="14"/>
      <c r="D116" s="14">
        <f>VLOOKUP("Alabama, N.",'[1]Raw Data - S-19'!$A$9:$L$135,3,FALSE)</f>
        <v>52</v>
      </c>
      <c r="E116" s="14"/>
      <c r="F116" s="14">
        <f>VLOOKUP("Alabama, N.",'[1]Raw Data - S-19'!$A$9:$L$135,7,FALSE)</f>
        <v>26724</v>
      </c>
      <c r="G116" s="14"/>
      <c r="H116" s="14">
        <f>VLOOKUP("Alabama, N.",'[1]Raw Data - S-19'!$A$9:$L$135,8,FALSE)</f>
        <v>3184</v>
      </c>
      <c r="I116" s="14"/>
      <c r="J116" s="14">
        <f>VLOOKUP("Alabama, N.",'[1]Raw Data - S-19'!$A$9:$L$135,12,FALSE)</f>
        <v>23</v>
      </c>
      <c r="K116" s="14"/>
    </row>
    <row r="117" spans="1:11" x14ac:dyDescent="0.2">
      <c r="A117" s="1" t="s">
        <v>105</v>
      </c>
      <c r="B117" s="14">
        <f>VLOOKUP("Alabama, M.",'[1]Raw Data - S-19'!$A$9:$L$135,2,FALSE)</f>
        <v>0</v>
      </c>
      <c r="C117" s="14"/>
      <c r="D117" s="14">
        <f>VLOOKUP("Alabama, M.",'[1]Raw Data - S-19'!$A$9:$L$135,3,FALSE)</f>
        <v>3</v>
      </c>
      <c r="E117" s="14"/>
      <c r="F117" s="14">
        <f>VLOOKUP("Alabama, M.",'[1]Raw Data - S-19'!$A$9:$L$135,7,FALSE)</f>
        <v>19</v>
      </c>
      <c r="G117" s="14"/>
      <c r="H117" s="14">
        <f>VLOOKUP("Alabama, M.",'[1]Raw Data - S-19'!$A$9:$L$135,8,FALSE)</f>
        <v>874</v>
      </c>
      <c r="I117" s="14"/>
      <c r="J117" s="14">
        <f>VLOOKUP("Alabama, M.",'[1]Raw Data - S-19'!$A$9:$L$135,12,FALSE)</f>
        <v>0</v>
      </c>
      <c r="K117" s="14"/>
    </row>
    <row r="118" spans="1:11" x14ac:dyDescent="0.2">
      <c r="A118" s="1" t="s">
        <v>106</v>
      </c>
      <c r="B118" s="14">
        <f>VLOOKUP("Alabama, S.",'[1]Raw Data - S-19'!$A$9:$L$135,2,FALSE)</f>
        <v>0</v>
      </c>
      <c r="C118" s="14"/>
      <c r="D118" s="14">
        <f>VLOOKUP("Alabama, S.",'[1]Raw Data - S-19'!$A$9:$L$135,3,FALSE)</f>
        <v>8</v>
      </c>
      <c r="E118" s="14"/>
      <c r="F118" s="14">
        <f>VLOOKUP("Alabama, S.",'[1]Raw Data - S-19'!$A$9:$L$135,7,FALSE)</f>
        <v>25</v>
      </c>
      <c r="G118" s="14"/>
      <c r="H118" s="14">
        <f>VLOOKUP("Alabama, S.",'[1]Raw Data - S-19'!$A$9:$L$135,8,FALSE)</f>
        <v>865</v>
      </c>
      <c r="I118" s="14"/>
      <c r="J118" s="14">
        <f>VLOOKUP("Alabama, S.",'[1]Raw Data - S-19'!$A$9:$L$135,12,FALSE)</f>
        <v>0</v>
      </c>
      <c r="K118" s="14"/>
    </row>
    <row r="119" spans="1:11" x14ac:dyDescent="0.2">
      <c r="A119" s="1" t="s">
        <v>107</v>
      </c>
      <c r="B119" s="14">
        <f>VLOOKUP("Florida, N.",'[1]Raw Data - S-19'!$A$9:$L$135,2,FALSE)</f>
        <v>251</v>
      </c>
      <c r="C119" s="14"/>
      <c r="D119" s="14">
        <f>VLOOKUP("Florida, N.",'[1]Raw Data - S-19'!$A$9:$L$135,3,FALSE)</f>
        <v>10</v>
      </c>
      <c r="E119" s="14"/>
      <c r="F119" s="14">
        <f>VLOOKUP("Florida, N.",'[1]Raw Data - S-19'!$A$9:$L$135,7,FALSE)</f>
        <v>2681</v>
      </c>
      <c r="G119" s="14"/>
      <c r="H119" s="14">
        <f>VLOOKUP("Florida, N.",'[1]Raw Data - S-19'!$A$9:$L$135,8,FALSE)</f>
        <v>1134</v>
      </c>
      <c r="I119" s="14"/>
      <c r="J119" s="14">
        <f>VLOOKUP("Florida, N.",'[1]Raw Data - S-19'!$A$9:$L$135,12,FALSE)</f>
        <v>242833</v>
      </c>
      <c r="K119" s="14"/>
    </row>
    <row r="120" spans="1:11" x14ac:dyDescent="0.2">
      <c r="A120" s="1" t="s">
        <v>108</v>
      </c>
      <c r="B120" s="14">
        <f>VLOOKUP("Florida, M.",'[1]Raw Data - S-19'!$A$9:$L$135,2,FALSE)</f>
        <v>10</v>
      </c>
      <c r="C120" s="14"/>
      <c r="D120" s="14">
        <f>VLOOKUP("Florida, M.",'[1]Raw Data - S-19'!$A$9:$L$135,3,FALSE)</f>
        <v>60</v>
      </c>
      <c r="E120" s="14"/>
      <c r="F120" s="14">
        <f>VLOOKUP("Florida, M.",'[1]Raw Data - S-19'!$A$9:$L$135,7,FALSE)</f>
        <v>1576</v>
      </c>
      <c r="G120" s="14"/>
      <c r="H120" s="14">
        <f>VLOOKUP("Florida, M.",'[1]Raw Data - S-19'!$A$9:$L$135,8,FALSE)</f>
        <v>5362</v>
      </c>
      <c r="I120" s="14"/>
      <c r="J120" s="14">
        <f>VLOOKUP("Florida, M.",'[1]Raw Data - S-19'!$A$9:$L$135,12,FALSE)</f>
        <v>45</v>
      </c>
      <c r="K120" s="14"/>
    </row>
    <row r="121" spans="1:11" x14ac:dyDescent="0.2">
      <c r="A121" s="1" t="s">
        <v>109</v>
      </c>
      <c r="B121" s="14">
        <f>VLOOKUP("Florida, S.",'[1]Raw Data - S-19'!$A$9:$L$135,2,FALSE)</f>
        <v>48</v>
      </c>
      <c r="C121" s="14"/>
      <c r="D121" s="14">
        <f>VLOOKUP("Florida, S.",'[1]Raw Data - S-19'!$A$9:$L$135,3,FALSE)</f>
        <v>36</v>
      </c>
      <c r="E121" s="14"/>
      <c r="F121" s="14">
        <f>VLOOKUP("Florida, S.",'[1]Raw Data - S-19'!$A$9:$L$135,7,FALSE)</f>
        <v>1908</v>
      </c>
      <c r="G121" s="14"/>
      <c r="H121" s="14">
        <f>VLOOKUP("Florida, S.",'[1]Raw Data - S-19'!$A$9:$L$135,8,FALSE)</f>
        <v>4216</v>
      </c>
      <c r="I121" s="14"/>
      <c r="J121" s="14">
        <f>VLOOKUP("Florida, S.",'[1]Raw Data - S-19'!$A$9:$L$135,12,FALSE)</f>
        <v>14721</v>
      </c>
      <c r="K121" s="14"/>
    </row>
    <row r="122" spans="1:11" x14ac:dyDescent="0.2">
      <c r="A122" s="1" t="s">
        <v>110</v>
      </c>
      <c r="B122" s="14">
        <f>VLOOKUP("Georgia, N.",'[1]Raw Data - S-19'!$A$9:$L$135,2,FALSE)</f>
        <v>38</v>
      </c>
      <c r="C122" s="14"/>
      <c r="D122" s="14">
        <f>VLOOKUP("Georgia, N.",'[1]Raw Data - S-19'!$A$9:$L$135,3,FALSE)</f>
        <v>21</v>
      </c>
      <c r="E122" s="14"/>
      <c r="F122" s="14">
        <f>VLOOKUP("Georgia, N.",'[1]Raw Data - S-19'!$A$9:$L$135,7,FALSE)</f>
        <v>1952</v>
      </c>
      <c r="G122" s="14"/>
      <c r="H122" s="14">
        <f>VLOOKUP("Georgia, N.",'[1]Raw Data - S-19'!$A$9:$L$135,8,FALSE)</f>
        <v>3024</v>
      </c>
      <c r="I122" s="14"/>
      <c r="J122" s="14">
        <f>VLOOKUP("Georgia, N.",'[1]Raw Data - S-19'!$A$9:$L$135,12,FALSE)</f>
        <v>2659</v>
      </c>
      <c r="K122" s="14"/>
    </row>
    <row r="123" spans="1:11" x14ac:dyDescent="0.2">
      <c r="A123" s="1" t="s">
        <v>111</v>
      </c>
      <c r="B123" s="14">
        <f>VLOOKUP("Georgia, M.",'[1]Raw Data - S-19'!$A$9:$L$135,2,FALSE)</f>
        <v>0</v>
      </c>
      <c r="C123" s="14"/>
      <c r="D123" s="14">
        <f>VLOOKUP("Georgia, M.",'[1]Raw Data - S-19'!$A$9:$L$135,3,FALSE)</f>
        <v>5</v>
      </c>
      <c r="E123" s="14"/>
      <c r="F123" s="14">
        <f>VLOOKUP("Georgia, M.",'[1]Raw Data - S-19'!$A$9:$L$135,7,FALSE)</f>
        <v>418</v>
      </c>
      <c r="G123" s="14"/>
      <c r="H123" s="14">
        <f>VLOOKUP("Georgia, M.",'[1]Raw Data - S-19'!$A$9:$L$135,8,FALSE)</f>
        <v>839</v>
      </c>
      <c r="I123" s="14"/>
      <c r="J123" s="14">
        <f>VLOOKUP("Georgia, M.",'[1]Raw Data - S-19'!$A$9:$L$135,12,FALSE)</f>
        <v>0</v>
      </c>
      <c r="K123" s="14"/>
    </row>
    <row r="124" spans="1:11" x14ac:dyDescent="0.2">
      <c r="A124" s="1" t="s">
        <v>112</v>
      </c>
      <c r="B124" s="14">
        <f>VLOOKUP("Georgia, S.",'[1]Raw Data - S-19'!$A$9:$L$135,2,FALSE)</f>
        <v>0</v>
      </c>
      <c r="C124" s="14"/>
      <c r="D124" s="14">
        <f>VLOOKUP("Georgia, S.",'[1]Raw Data - S-19'!$A$9:$L$135,3,FALSE)</f>
        <v>5</v>
      </c>
      <c r="E124" s="14"/>
      <c r="F124" s="14">
        <f>VLOOKUP("Georgia, S.",'[1]Raw Data - S-19'!$A$9:$L$135,7,FALSE)</f>
        <v>3</v>
      </c>
      <c r="G124" s="14"/>
      <c r="H124" s="14">
        <f>VLOOKUP("Georgia, S.",'[1]Raw Data - S-19'!$A$9:$L$135,8,FALSE)</f>
        <v>1815</v>
      </c>
      <c r="I124" s="14"/>
      <c r="J124" s="14">
        <f>VLOOKUP("Georgia, S.",'[1]Raw Data - S-19'!$A$9:$L$135,12,FALSE)</f>
        <v>0</v>
      </c>
      <c r="K124" s="14"/>
    </row>
    <row r="125" spans="1:1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 x14ac:dyDescent="0.2">
      <c r="A126" s="1" t="s">
        <v>113</v>
      </c>
    </row>
    <row r="127" spans="1:11" ht="11.4" x14ac:dyDescent="0.2">
      <c r="A127" s="1" t="s">
        <v>114</v>
      </c>
    </row>
  </sheetData>
  <mergeCells count="24">
    <mergeCell ref="A88:A89"/>
    <mergeCell ref="B88:E88"/>
    <mergeCell ref="F88:I88"/>
    <mergeCell ref="J88:K89"/>
    <mergeCell ref="B89:C89"/>
    <mergeCell ref="D89:E89"/>
    <mergeCell ref="F89:G89"/>
    <mergeCell ref="H89:I89"/>
    <mergeCell ref="A43:A44"/>
    <mergeCell ref="B43:E43"/>
    <mergeCell ref="F43:I43"/>
    <mergeCell ref="J43:K44"/>
    <mergeCell ref="B44:C44"/>
    <mergeCell ref="D44:E44"/>
    <mergeCell ref="F44:G44"/>
    <mergeCell ref="H44:I44"/>
    <mergeCell ref="A6:A7"/>
    <mergeCell ref="B6:E6"/>
    <mergeCell ref="F6:I6"/>
    <mergeCell ref="J6:K7"/>
    <mergeCell ref="B7:C7"/>
    <mergeCell ref="D7:E7"/>
    <mergeCell ref="F7:G7"/>
    <mergeCell ref="H7:I7"/>
  </mergeCells>
  <conditionalFormatting sqref="B8 F8 J8 J10 F10 B10 B16 F16 J16 J23 J30 F23 F30 B23 B30">
    <cfRule type="cellIs" dxfId="8" priority="9" operator="equal">
      <formula>"ERROR"</formula>
    </cfRule>
  </conditionalFormatting>
  <conditionalFormatting sqref="B74 F74 J74 J65 F65 B65 B55 F55 J55 J45 F45 B45">
    <cfRule type="cellIs" dxfId="7" priority="8" operator="equal">
      <formula>"ERROR"</formula>
    </cfRule>
  </conditionalFormatting>
  <conditionalFormatting sqref="B90 F90 J90 J106 F106 B106 B115 F115 J115">
    <cfRule type="cellIs" dxfId="6" priority="7" operator="equal">
      <formula>"ERROR"</formula>
    </cfRule>
  </conditionalFormatting>
  <conditionalFormatting sqref="D8 D10 D16 D30 D23">
    <cfRule type="cellIs" dxfId="5" priority="6" operator="equal">
      <formula>"ERROR"</formula>
    </cfRule>
  </conditionalFormatting>
  <conditionalFormatting sqref="D74 D65 D55 D45">
    <cfRule type="cellIs" dxfId="4" priority="5" operator="equal">
      <formula>"ERROR"</formula>
    </cfRule>
  </conditionalFormatting>
  <conditionalFormatting sqref="D90 D106 D115">
    <cfRule type="cellIs" dxfId="3" priority="4" operator="equal">
      <formula>"ERROR"</formula>
    </cfRule>
  </conditionalFormatting>
  <conditionalFormatting sqref="H8 H10 H16 H30 H23">
    <cfRule type="cellIs" dxfId="2" priority="3" operator="equal">
      <formula>"ERROR"</formula>
    </cfRule>
  </conditionalFormatting>
  <conditionalFormatting sqref="H74 H65 H55 H45">
    <cfRule type="cellIs" dxfId="1" priority="2" operator="equal">
      <formula>"ERROR"</formula>
    </cfRule>
  </conditionalFormatting>
  <conditionalFormatting sqref="H90 H106 H115">
    <cfRule type="cellIs" dxfId="0" priority="1" operator="equal">
      <formula>"ERROR"</formula>
    </cfRule>
  </conditionalFormatting>
  <printOptions horizontalCentered="1"/>
  <pageMargins left="0.4" right="0.4" top="0.5" bottom="0.5" header="0.3" footer="0.3"/>
  <pageSetup fitToHeight="0" orientation="landscape" r:id="rId1"/>
  <headerFooter alignWithMargins="0">
    <oddFooter>&amp;R&amp;"Arial,Regular"&amp;8Page &amp;P of &amp;N</oddFooter>
  </headerFooter>
  <rowBreaks count="2" manualBreakCount="2">
    <brk id="39" max="16383" man="1"/>
    <brk id="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Formatted Report - S-19</vt:lpstr>
      <vt:lpstr>'Formatted Report - S-19'!Print_Area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Anjanie Desai</dc:creator>
  <cp:lastModifiedBy>Anjanie Desai</cp:lastModifiedBy>
  <dcterms:created xsi:type="dcterms:W3CDTF">2023-11-27T19:49:53Z</dcterms:created>
  <dcterms:modified xsi:type="dcterms:W3CDTF">2023-11-27T19:51:27Z</dcterms:modified>
</cp:coreProperties>
</file>